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124226"/>
  <mc:AlternateContent xmlns:mc="http://schemas.openxmlformats.org/markup-compatibility/2006">
    <mc:Choice Requires="x15">
      <x15ac:absPath xmlns:x15ac="http://schemas.microsoft.com/office/spreadsheetml/2010/11/ac" url="https://movebank.sharepoint.com/sites/Sales/Shared Documents/General/Broker Team/Interest Rate &amp; LW Updates/07.2026 - Fixed Rates (off cycle)/"/>
    </mc:Choice>
  </mc:AlternateContent>
  <xr:revisionPtr revIDLastSave="40" documentId="114_{38260BCD-FFD3-46E8-9255-CDD4555AB92A}" xr6:coauthVersionLast="47" xr6:coauthVersionMax="47" xr10:uidLastSave="{DB74C5E9-7007-4354-BCB2-75F620281776}"/>
  <bookViews>
    <workbookView xWindow="28680" yWindow="-120" windowWidth="29040" windowHeight="15720" xr2:uid="{00000000-000D-0000-FFFF-FFFF00000000}"/>
  </bookViews>
  <sheets>
    <sheet name="Broker" sheetId="18" r:id="rId1"/>
    <sheet name="Tables_Brokers" sheetId="17" state="hidden" r:id="rId2"/>
    <sheet name="Worksheet" sheetId="1" state="hidden" r:id="rId3"/>
    <sheet name="Tables" sheetId="4" state="hidden" r:id="rId4"/>
    <sheet name="DropINTable" sheetId="12" state="hidden" r:id="rId5"/>
    <sheet name="Schedule of Changes" sheetId="23" state="hidden" r:id="rId6"/>
    <sheet name="Living Expenses" sheetId="14" r:id="rId7"/>
    <sheet name="Funds to Complete" sheetId="16" r:id="rId8"/>
    <sheet name="Fees" sheetId="21" r:id="rId9"/>
    <sheet name="ARS223" sheetId="24" r:id="rId10"/>
    <sheet name="Bridging" sheetId="22" state="hidden" r:id="rId11"/>
    <sheet name="Postcodes" sheetId="10" r:id="rId12"/>
    <sheet name="Self-Employed" sheetId="26" r:id="rId13"/>
    <sheet name="Construction" sheetId="33" r:id="rId14"/>
    <sheet name="Geographic Classification" sheetId="7" state="hidden" r:id="rId15"/>
    <sheet name="HEM" sheetId="13" state="hidden" r:id="rId16"/>
    <sheet name="Per_child_accounting" sheetId="9" state="hidden" r:id="rId17"/>
    <sheet name="Quantile Regressions" sheetId="8" state="hidden" r:id="rId18"/>
  </sheets>
  <externalReferences>
    <externalReference r:id="rId19"/>
  </externalReferences>
  <definedNames>
    <definedName name="_xlnm._FilterDatabase" localSheetId="0" hidden="1">Broker!$B$53:$G$55</definedName>
    <definedName name="_xlnm._FilterDatabase" localSheetId="15" hidden="1">HEM!$A$9:$AU$243</definedName>
    <definedName name="_xlnm._FilterDatabase" localSheetId="2" hidden="1">Worksheet!$B$53:$G$55</definedName>
    <definedName name="ACT">Postcodes!$I$9:$J$35</definedName>
    <definedName name="App" localSheetId="1">Tables_Brokers!$C$301:$C$302</definedName>
    <definedName name="App">Tables!$C$358:$C$359</definedName>
    <definedName name="Approval_Officers" localSheetId="1">Tables_Brokers!$A$17:$C$25</definedName>
    <definedName name="Approval_Officers">Tables!$A$18:$C$24</definedName>
    <definedName name="Australia">HEM!$C$10:$Q$24</definedName>
    <definedName name="CC_Rates">Tables!$C$271:$C$273</definedName>
    <definedName name="Confirmed" localSheetId="1">Tables_Brokers!$A$328:$A$329</definedName>
    <definedName name="Confirmed">Tables!$A$385:$A$386</definedName>
    <definedName name="CreditReport" localSheetId="1">Tables_Brokers!$A$346:$A$352</definedName>
    <definedName name="CreditReport">Tables!$A$403:$A$409</definedName>
    <definedName name="Delegations" localSheetId="1">Tables_Brokers!$A$28:$G$126</definedName>
    <definedName name="Delegations">Tables!$A$29:$M$138</definedName>
    <definedName name="Family" localSheetId="1">Tables_Brokers!$A$294:$C$298</definedName>
    <definedName name="Family">Tables!$A$327:$C$331</definedName>
    <definedName name="HELP_Table_2020_21">Tables!$A$335:$B$353</definedName>
    <definedName name="Interest_Type" localSheetId="1">Tables_Brokers!$A$238:$A$240</definedName>
    <definedName name="Interest_Type">Tables!$A$271:$A$273</definedName>
    <definedName name="LIVING">HEM!$C$10:$Q$246</definedName>
    <definedName name="Living_Expenses" localSheetId="1">Tables_Brokers!$F$243:$F$249</definedName>
    <definedName name="Living_Expenses">Tables!$F$276:$F$282</definedName>
    <definedName name="Location" localSheetId="1">Tables_Brokers!$C$254:$C$267</definedName>
    <definedName name="Location">Tables!$C$287:$C$300</definedName>
    <definedName name="NSRRate" localSheetId="1">Tables_Brokers!$A$136:$E$235</definedName>
    <definedName name="NSRRate">Tables!$A$157:$E$268</definedName>
    <definedName name="NSW">Postcodes!$A$9:$B$450</definedName>
    <definedName name="NT">Postcodes!$O$9:$P$26</definedName>
    <definedName name="PayFreq" localSheetId="1">Tables_Brokers!$B$244:$B$247</definedName>
    <definedName name="PayFreq">Tables!$B$277:$B$280</definedName>
    <definedName name="Period" localSheetId="1">Tables_Brokers!$B$243:$B$247</definedName>
    <definedName name="Period">Tables!$B$276:$B$280</definedName>
    <definedName name="_xlnm.Print_Area" localSheetId="0">Broker!$B$1:$M$84</definedName>
    <definedName name="_xlnm.Print_Area" localSheetId="7">'Funds to Complete'!$A$1:$D$46</definedName>
    <definedName name="_xlnm.Print_Area" localSheetId="6">'Living Expenses'!$A$1:$K$20</definedName>
    <definedName name="_xlnm.Print_Area" localSheetId="1">Tables_Brokers!$A$1:$L$352</definedName>
    <definedName name="_xlnm.Print_Area" localSheetId="2">Worksheet!$A$1:$M$67</definedName>
    <definedName name="Product_IR">Tables!$B$156:$P$268</definedName>
    <definedName name="Product_NSR" localSheetId="1">Tables_Brokers!$A$137:$E$235</definedName>
    <definedName name="Product_NSR">Tables_Brokers!$A$212:$E$235</definedName>
    <definedName name="ProductDLA">Tables!$B$29:$K35</definedName>
    <definedName name="QLD">Postcodes!$E$9:$F$250</definedName>
    <definedName name="Rates">Tables!$A$158:$C$268</definedName>
    <definedName name="Rates_Broker" localSheetId="1">Tables_Brokers!$A$137:$C$235</definedName>
    <definedName name="Rates_Broker">Tables_Brokers!$A$212:$C$235</definedName>
    <definedName name="Rates_Brokers">Tables_Brokers!$J$196</definedName>
    <definedName name="RegFees">Fees!$G$29:$H$36</definedName>
    <definedName name="Rent_Discount">Tables!$E$271:$E$272</definedName>
    <definedName name="SA">Postcodes!$M$9:$N$200</definedName>
    <definedName name="Single" localSheetId="1">Tables_Brokers!$A$287:$C$291</definedName>
    <definedName name="Single">Tables!$A$320:$C$324</definedName>
    <definedName name="Sydney">HEM!$C$27:$Q$41</definedName>
    <definedName name="Tables_Brokers">Broker!$E$24</definedName>
    <definedName name="TAS">Postcodes!$K$9:$L$69</definedName>
    <definedName name="VIC">Postcodes!$C$7:$D$379</definedName>
    <definedName name="WA">Postcodes!$G$9:$H$168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33" l="1"/>
  <c r="D14" i="33" s="1"/>
  <c r="B8" i="33" a="1"/>
  <c r="B8" i="33" s="1"/>
  <c r="M8" i="33" s="1"/>
  <c r="I8" i="33" s="1"/>
  <c r="G8" i="33"/>
  <c r="M9" i="33"/>
  <c r="E8" i="33" s="1"/>
  <c r="A8" i="33" s="1"/>
  <c r="D11" i="33"/>
  <c r="D12" i="33"/>
  <c r="D13" i="33"/>
  <c r="B18" i="33"/>
  <c r="E21" i="33"/>
  <c r="E22" i="33"/>
  <c r="G22" i="33" a="1"/>
  <c r="G22" i="33" s="1"/>
  <c r="H22" i="33" s="1"/>
  <c r="E23" i="33"/>
  <c r="E24" i="33"/>
  <c r="E25" i="33"/>
  <c r="E26" i="33"/>
  <c r="E27" i="33"/>
  <c r="E28" i="33"/>
  <c r="E29" i="33"/>
  <c r="E30" i="33"/>
  <c r="E31" i="33"/>
  <c r="E32" i="33"/>
  <c r="E33" i="33"/>
  <c r="E36" i="33"/>
  <c r="D17" i="33" l="1"/>
  <c r="D10" i="33"/>
  <c r="D16" i="33"/>
  <c r="D15" i="33"/>
  <c r="M10" i="33"/>
  <c r="E37" i="33" s="1"/>
  <c r="C214" i="4"/>
  <c r="C217" i="4" s="1"/>
  <c r="C224" i="4"/>
  <c r="C222" i="4"/>
  <c r="C223" i="4"/>
  <c r="C226" i="4"/>
  <c r="C238" i="4" s="1"/>
  <c r="C220" i="4"/>
  <c r="C221" i="4" s="1"/>
  <c r="C233" i="4"/>
  <c r="C237" i="4" s="1"/>
  <c r="C232" i="4"/>
  <c r="C236" i="4" s="1"/>
  <c r="C207" i="4"/>
  <c r="C231" i="4"/>
  <c r="C235" i="4" s="1"/>
  <c r="C230" i="4"/>
  <c r="C234" i="4" s="1"/>
  <c r="C227" i="4"/>
  <c r="C229" i="4" s="1"/>
  <c r="C216" i="4"/>
  <c r="C219" i="4" s="1"/>
  <c r="C215" i="4"/>
  <c r="C218" i="4" s="1"/>
  <c r="C208" i="4"/>
  <c r="C206" i="4"/>
  <c r="C205" i="4"/>
  <c r="C202" i="4"/>
  <c r="C201" i="4"/>
  <c r="C213" i="4" s="1"/>
  <c r="C199" i="4"/>
  <c r="C198" i="4"/>
  <c r="C197" i="4"/>
  <c r="C196" i="4"/>
  <c r="D18" i="33" l="1"/>
  <c r="E34" i="33" s="1"/>
  <c r="E10" i="33"/>
  <c r="C228" i="4"/>
  <c r="C225" i="4"/>
  <c r="C192" i="4"/>
  <c r="C195" i="4" s="1"/>
  <c r="C191" i="4"/>
  <c r="C194" i="4" s="1"/>
  <c r="C190" i="4"/>
  <c r="C189" i="4"/>
  <c r="C188" i="4"/>
  <c r="C212" i="4" s="1"/>
  <c r="C187" i="4"/>
  <c r="C211" i="4" s="1"/>
  <c r="C186" i="4"/>
  <c r="C210" i="4" s="1"/>
  <c r="C185" i="4"/>
  <c r="C209" i="4" s="1"/>
  <c r="C180" i="4"/>
  <c r="C204" i="4" s="1"/>
  <c r="C179" i="4"/>
  <c r="C203" i="4" s="1"/>
  <c r="C176" i="4"/>
  <c r="C172" i="4"/>
  <c r="C170" i="4"/>
  <c r="C169" i="4"/>
  <c r="C168" i="4"/>
  <c r="I10" i="33" l="1"/>
  <c r="G10" i="33"/>
  <c r="C193" i="4"/>
  <c r="C200" i="4"/>
  <c r="C268" i="4"/>
  <c r="C266" i="4"/>
  <c r="C264" i="4"/>
  <c r="C262" i="4"/>
  <c r="C259" i="4"/>
  <c r="C260" i="4" s="1"/>
  <c r="C258" i="4"/>
  <c r="C256" i="4"/>
  <c r="C255" i="4"/>
  <c r="C253" i="4"/>
  <c r="C254" i="4" s="1"/>
  <c r="C248" i="4"/>
  <c r="C245" i="4"/>
  <c r="C246" i="4" s="1"/>
  <c r="C242" i="4"/>
  <c r="C241" i="4"/>
  <c r="C240" i="4"/>
  <c r="P18" i="18"/>
  <c r="J34" i="26"/>
  <c r="E34" i="26"/>
  <c r="J33" i="26"/>
  <c r="E33" i="26"/>
  <c r="G32" i="26"/>
  <c r="B32" i="26"/>
  <c r="I29" i="26"/>
  <c r="I22" i="26"/>
  <c r="I24" i="26" s="1"/>
  <c r="I28" i="26" s="1"/>
  <c r="D22" i="26"/>
  <c r="I14" i="26"/>
  <c r="I13" i="26"/>
  <c r="I16" i="26" s="1"/>
  <c r="D13" i="26"/>
  <c r="D16" i="26" s="1"/>
  <c r="L10" i="26"/>
  <c r="L8" i="26"/>
  <c r="L7" i="26"/>
  <c r="E11" i="33" l="1"/>
  <c r="I11" i="33" s="1"/>
  <c r="L16" i="26"/>
  <c r="D24" i="26"/>
  <c r="L22" i="26"/>
  <c r="L13" i="26"/>
  <c r="E24" i="18"/>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139" i="17"/>
  <c r="C140" i="17"/>
  <c r="C141" i="17"/>
  <c r="C142" i="17"/>
  <c r="C143" i="17"/>
  <c r="C138" i="17"/>
  <c r="C137" i="17"/>
  <c r="P238" i="4"/>
  <c r="E238" i="4" s="1"/>
  <c r="E210" i="17" s="1"/>
  <c r="P237" i="4"/>
  <c r="E237" i="4" s="1"/>
  <c r="E209" i="17" s="1"/>
  <c r="P236" i="4"/>
  <c r="D236" i="4" s="1"/>
  <c r="Q236" i="4" s="1"/>
  <c r="P235" i="4"/>
  <c r="E235" i="4" s="1"/>
  <c r="E207" i="17" s="1"/>
  <c r="P234" i="4"/>
  <c r="E234" i="4" s="1"/>
  <c r="E206" i="17" s="1"/>
  <c r="P233" i="4"/>
  <c r="D233" i="4" s="1"/>
  <c r="Q233" i="4" s="1"/>
  <c r="P232" i="4"/>
  <c r="E232" i="4" s="1"/>
  <c r="E204" i="17" s="1"/>
  <c r="P231" i="4"/>
  <c r="E231" i="4" s="1"/>
  <c r="E203" i="17" s="1"/>
  <c r="P230" i="4"/>
  <c r="D230" i="4" s="1"/>
  <c r="P229" i="4"/>
  <c r="E229" i="4" s="1"/>
  <c r="E201" i="17" s="1"/>
  <c r="P228" i="4"/>
  <c r="E228" i="4" s="1"/>
  <c r="E200" i="17" s="1"/>
  <c r="P227" i="4"/>
  <c r="D227" i="4" s="1"/>
  <c r="P226" i="4"/>
  <c r="E226" i="4" s="1"/>
  <c r="E198" i="17" s="1"/>
  <c r="P225" i="4"/>
  <c r="E225" i="4" s="1"/>
  <c r="E197" i="17" s="1"/>
  <c r="P224" i="4"/>
  <c r="E224" i="4" s="1"/>
  <c r="E196" i="17" s="1"/>
  <c r="P223" i="4"/>
  <c r="E223" i="4" s="1"/>
  <c r="E195" i="17" s="1"/>
  <c r="P222" i="4"/>
  <c r="E222" i="4" s="1"/>
  <c r="E194" i="17" s="1"/>
  <c r="P221" i="4"/>
  <c r="D221" i="4" s="1"/>
  <c r="Q221" i="4" s="1"/>
  <c r="P220" i="4"/>
  <c r="E220" i="4" s="1"/>
  <c r="E192" i="17" s="1"/>
  <c r="P219" i="4"/>
  <c r="E219" i="4" s="1"/>
  <c r="E191" i="17" s="1"/>
  <c r="P218" i="4"/>
  <c r="E218" i="4" s="1"/>
  <c r="E190" i="17" s="1"/>
  <c r="P217" i="4"/>
  <c r="E217" i="4" s="1"/>
  <c r="E189" i="17" s="1"/>
  <c r="P216" i="4"/>
  <c r="E216" i="4" s="1"/>
  <c r="E188" i="17" s="1"/>
  <c r="P215" i="4"/>
  <c r="E215" i="4" s="1"/>
  <c r="E187" i="17" s="1"/>
  <c r="P214" i="4"/>
  <c r="E214" i="4" s="1"/>
  <c r="E186" i="17" s="1"/>
  <c r="P213" i="4"/>
  <c r="E213" i="4" s="1"/>
  <c r="E185" i="17" s="1"/>
  <c r="P212" i="4"/>
  <c r="E212" i="4" s="1"/>
  <c r="E184" i="17" s="1"/>
  <c r="P211" i="4"/>
  <c r="E211" i="4" s="1"/>
  <c r="E183" i="17" s="1"/>
  <c r="P210" i="4"/>
  <c r="D210" i="4" s="1"/>
  <c r="Q210" i="4" s="1"/>
  <c r="P209" i="4"/>
  <c r="E209" i="4" s="1"/>
  <c r="E181" i="17" s="1"/>
  <c r="P208" i="4"/>
  <c r="D208" i="4" s="1"/>
  <c r="P207" i="4"/>
  <c r="E207" i="4" s="1"/>
  <c r="E179" i="17" s="1"/>
  <c r="P206" i="4"/>
  <c r="E206" i="4" s="1"/>
  <c r="E178" i="17" s="1"/>
  <c r="P205" i="4"/>
  <c r="E205" i="4" s="1"/>
  <c r="E177" i="17" s="1"/>
  <c r="P204" i="4"/>
  <c r="E204" i="4" s="1"/>
  <c r="E176" i="17" s="1"/>
  <c r="P203" i="4"/>
  <c r="D203" i="4" s="1"/>
  <c r="Q203" i="4" s="1"/>
  <c r="P202" i="4"/>
  <c r="E202" i="4" s="1"/>
  <c r="E174" i="17" s="1"/>
  <c r="P201" i="4"/>
  <c r="E201" i="4" s="1"/>
  <c r="E173" i="17" s="1"/>
  <c r="P200" i="4"/>
  <c r="D200" i="4" s="1"/>
  <c r="Q200" i="4" s="1"/>
  <c r="P199" i="4"/>
  <c r="E199" i="4" s="1"/>
  <c r="E171" i="17" s="1"/>
  <c r="P198" i="4"/>
  <c r="E198" i="4" s="1"/>
  <c r="E170" i="17" s="1"/>
  <c r="P197" i="4"/>
  <c r="E197" i="4" s="1"/>
  <c r="E169" i="17" s="1"/>
  <c r="P196" i="4"/>
  <c r="E196" i="4" s="1"/>
  <c r="E168" i="17" s="1"/>
  <c r="P195" i="4"/>
  <c r="E195" i="4" s="1"/>
  <c r="E167" i="17" s="1"/>
  <c r="P194" i="4"/>
  <c r="E194" i="4" s="1"/>
  <c r="E166" i="17" s="1"/>
  <c r="P193" i="4"/>
  <c r="E193" i="4" s="1"/>
  <c r="E165" i="17" s="1"/>
  <c r="P192" i="4"/>
  <c r="P191" i="4"/>
  <c r="P190" i="4"/>
  <c r="D190" i="4" s="1"/>
  <c r="Q190" i="4" s="1"/>
  <c r="P189" i="4"/>
  <c r="E189" i="4" s="1"/>
  <c r="E161" i="17" s="1"/>
  <c r="P188" i="4"/>
  <c r="D188" i="4" s="1"/>
  <c r="P187" i="4"/>
  <c r="E187" i="4" s="1"/>
  <c r="E159" i="17" s="1"/>
  <c r="P186" i="4"/>
  <c r="E186" i="4" s="1"/>
  <c r="E158" i="17" s="1"/>
  <c r="P185" i="4"/>
  <c r="D185" i="4" s="1"/>
  <c r="Q185" i="4" s="1"/>
  <c r="P184" i="4"/>
  <c r="D184" i="4" s="1"/>
  <c r="P183" i="4"/>
  <c r="E183" i="4" s="1"/>
  <c r="E155" i="17" s="1"/>
  <c r="P182" i="4"/>
  <c r="E182" i="4" s="1"/>
  <c r="E154" i="17" s="1"/>
  <c r="P181" i="4"/>
  <c r="E181" i="4" s="1"/>
  <c r="E153" i="17" s="1"/>
  <c r="P180" i="4"/>
  <c r="E180" i="4" s="1"/>
  <c r="E152" i="17" s="1"/>
  <c r="P179" i="4"/>
  <c r="E179" i="4" s="1"/>
  <c r="E151" i="17" s="1"/>
  <c r="P178" i="4"/>
  <c r="E178" i="4" s="1"/>
  <c r="E150" i="17" s="1"/>
  <c r="P177" i="4"/>
  <c r="D177" i="4" s="1"/>
  <c r="Q177" i="4" s="1"/>
  <c r="P176" i="4"/>
  <c r="E176" i="4" s="1"/>
  <c r="E148" i="17" s="1"/>
  <c r="P175" i="4"/>
  <c r="E175" i="4" s="1"/>
  <c r="E147" i="17" s="1"/>
  <c r="P174" i="4"/>
  <c r="D174" i="4" s="1"/>
  <c r="Q174" i="4" s="1"/>
  <c r="P173" i="4"/>
  <c r="D173" i="4" s="1"/>
  <c r="P172" i="4"/>
  <c r="E172" i="4" s="1"/>
  <c r="E144" i="17" s="1"/>
  <c r="P171" i="4"/>
  <c r="D171" i="4" s="1"/>
  <c r="P170" i="4"/>
  <c r="E170" i="4" s="1"/>
  <c r="E142" i="17" s="1"/>
  <c r="P169" i="4"/>
  <c r="E169" i="4" s="1"/>
  <c r="E141" i="17" s="1"/>
  <c r="P168" i="4"/>
  <c r="E168" i="4" s="1"/>
  <c r="E140" i="17" s="1"/>
  <c r="P167" i="4"/>
  <c r="P166" i="4"/>
  <c r="E166" i="4" s="1"/>
  <c r="E138" i="17" s="1"/>
  <c r="P165" i="4"/>
  <c r="E165" i="4" s="1"/>
  <c r="E137" i="17" s="1"/>
  <c r="G149" i="4"/>
  <c r="F149" i="4"/>
  <c r="E149" i="4"/>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F71" i="17"/>
  <c r="F72" i="17"/>
  <c r="F73" i="17"/>
  <c r="F74" i="17"/>
  <c r="F75" i="17"/>
  <c r="F76" i="17"/>
  <c r="F77" i="17"/>
  <c r="F78" i="17"/>
  <c r="F79" i="17"/>
  <c r="F80" i="17"/>
  <c r="F81" i="17"/>
  <c r="F82" i="17"/>
  <c r="F83" i="17"/>
  <c r="F84" i="17"/>
  <c r="F85" i="17"/>
  <c r="F86" i="17"/>
  <c r="F87" i="17"/>
  <c r="F88" i="17"/>
  <c r="F89" i="17"/>
  <c r="F90" i="17"/>
  <c r="F91" i="17"/>
  <c r="F92" i="17"/>
  <c r="F93" i="17"/>
  <c r="F94" i="17"/>
  <c r="F95" i="17"/>
  <c r="F96" i="17"/>
  <c r="F97" i="17"/>
  <c r="F98" i="17"/>
  <c r="F99" i="17"/>
  <c r="F100" i="17"/>
  <c r="F101" i="17"/>
  <c r="F102" i="17"/>
  <c r="F103"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73" i="17"/>
  <c r="E74" i="17"/>
  <c r="E75" i="17"/>
  <c r="E76" i="17"/>
  <c r="E77" i="17"/>
  <c r="E78"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3" i="17"/>
  <c r="D84" i="17"/>
  <c r="D85" i="17"/>
  <c r="D86" i="17"/>
  <c r="D87" i="17"/>
  <c r="D88" i="17"/>
  <c r="D89" i="17"/>
  <c r="D90" i="17"/>
  <c r="D91" i="17"/>
  <c r="D92" i="17"/>
  <c r="D93" i="17"/>
  <c r="D94" i="17"/>
  <c r="D95" i="17"/>
  <c r="D96" i="17"/>
  <c r="D97" i="17"/>
  <c r="D98" i="17"/>
  <c r="D99" i="17"/>
  <c r="D100" i="17"/>
  <c r="D101" i="17"/>
  <c r="D102" i="17"/>
  <c r="D103"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B25" i="17"/>
  <c r="A25" i="17"/>
  <c r="B24" i="17"/>
  <c r="A24" i="17"/>
  <c r="B23" i="17"/>
  <c r="A23" i="17"/>
  <c r="B22" i="17"/>
  <c r="A22" i="17"/>
  <c r="B21" i="17"/>
  <c r="A21" i="17"/>
  <c r="B20" i="17"/>
  <c r="A20" i="17"/>
  <c r="A19" i="17"/>
  <c r="B19" i="17"/>
  <c r="B18" i="17"/>
  <c r="A18" i="17"/>
  <c r="F6" i="17"/>
  <c r="F7" i="17"/>
  <c r="F5" i="17"/>
  <c r="D13" i="17"/>
  <c r="D12" i="17"/>
  <c r="D11" i="17"/>
  <c r="D10" i="17"/>
  <c r="D9" i="17"/>
  <c r="D8" i="17"/>
  <c r="D7" i="17"/>
  <c r="D6" i="17"/>
  <c r="D5" i="17"/>
  <c r="D4" i="17"/>
  <c r="A10" i="17"/>
  <c r="A9" i="17"/>
  <c r="A8" i="17"/>
  <c r="A7" i="17"/>
  <c r="A6" i="17"/>
  <c r="A5" i="17"/>
  <c r="A4" i="17"/>
  <c r="C126" i="17"/>
  <c r="C104" i="17"/>
  <c r="D149" i="4"/>
  <c r="C149" i="4"/>
  <c r="C148" i="4" s="1"/>
  <c r="G11" i="33" l="1"/>
  <c r="D29" i="26"/>
  <c r="L24" i="26"/>
  <c r="D28" i="26"/>
  <c r="D194" i="4"/>
  <c r="D195" i="4"/>
  <c r="Q195" i="4" s="1"/>
  <c r="D202" i="4"/>
  <c r="D204" i="4"/>
  <c r="D214" i="4"/>
  <c r="Q214" i="4" s="1"/>
  <c r="D215" i="4"/>
  <c r="D216" i="4"/>
  <c r="D218" i="4"/>
  <c r="Q218" i="4" s="1"/>
  <c r="D219" i="4"/>
  <c r="D229" i="4"/>
  <c r="D170" i="4"/>
  <c r="E167" i="4"/>
  <c r="E139" i="17" s="1"/>
  <c r="D166" i="4"/>
  <c r="D138" i="17" s="1"/>
  <c r="D169" i="4"/>
  <c r="D178" i="4"/>
  <c r="Q178" i="4" s="1"/>
  <c r="D180" i="4"/>
  <c r="D191" i="4"/>
  <c r="Q191" i="4" s="1"/>
  <c r="D167" i="4"/>
  <c r="D139" i="17" s="1"/>
  <c r="Q227" i="4"/>
  <c r="D192" i="4"/>
  <c r="Q192" i="4" s="1"/>
  <c r="E177" i="4"/>
  <c r="E149" i="17" s="1"/>
  <c r="E210" i="4"/>
  <c r="E182" i="17" s="1"/>
  <c r="E227" i="4"/>
  <c r="E199" i="17" s="1"/>
  <c r="D211" i="4"/>
  <c r="Q211" i="4" s="1"/>
  <c r="E173" i="4"/>
  <c r="E145" i="17" s="1"/>
  <c r="E188" i="4"/>
  <c r="E160" i="17" s="1"/>
  <c r="D201" i="4"/>
  <c r="Q201" i="4" s="1"/>
  <c r="D189" i="4"/>
  <c r="Q189" i="4" s="1"/>
  <c r="E190" i="4"/>
  <c r="E162" i="17" s="1"/>
  <c r="E184" i="4"/>
  <c r="E156" i="17" s="1"/>
  <c r="E236" i="4"/>
  <c r="E208" i="17" s="1"/>
  <c r="E185" i="4"/>
  <c r="E157" i="17" s="1"/>
  <c r="E200" i="4"/>
  <c r="E172" i="17" s="1"/>
  <c r="D220" i="4"/>
  <c r="Q220" i="4" s="1"/>
  <c r="D207" i="4"/>
  <c r="Q207" i="4" s="1"/>
  <c r="E230" i="4"/>
  <c r="E202" i="17" s="1"/>
  <c r="E208" i="4"/>
  <c r="E180" i="17" s="1"/>
  <c r="D209" i="4"/>
  <c r="Q209" i="4" s="1"/>
  <c r="D234" i="4"/>
  <c r="Q234" i="4" s="1"/>
  <c r="D168" i="4"/>
  <c r="Q168" i="4" s="1"/>
  <c r="D224" i="4"/>
  <c r="D225" i="4"/>
  <c r="Q225" i="4" s="1"/>
  <c r="D196" i="4"/>
  <c r="Q196" i="4" s="1"/>
  <c r="E191" i="4"/>
  <c r="E163" i="17" s="1"/>
  <c r="E171" i="4"/>
  <c r="E143" i="17" s="1"/>
  <c r="D165" i="4"/>
  <c r="Q165" i="4" s="1"/>
  <c r="Q230" i="4"/>
  <c r="D202" i="17"/>
  <c r="D232" i="4"/>
  <c r="E233" i="4"/>
  <c r="E205" i="17" s="1"/>
  <c r="D208" i="17"/>
  <c r="D235" i="4"/>
  <c r="D205" i="17"/>
  <c r="D231" i="4"/>
  <c r="D199" i="17"/>
  <c r="D226" i="4"/>
  <c r="D193" i="17"/>
  <c r="E221" i="4"/>
  <c r="E193" i="17" s="1"/>
  <c r="D223" i="4"/>
  <c r="Q208" i="4"/>
  <c r="D180" i="17"/>
  <c r="D206" i="4"/>
  <c r="D182" i="17"/>
  <c r="D205" i="4"/>
  <c r="E203" i="4"/>
  <c r="E175" i="17" s="1"/>
  <c r="D175" i="17"/>
  <c r="D197" i="4"/>
  <c r="D172" i="17"/>
  <c r="D193" i="4"/>
  <c r="E192" i="4"/>
  <c r="E164" i="17" s="1"/>
  <c r="D162" i="17"/>
  <c r="Q188" i="4"/>
  <c r="D160" i="17"/>
  <c r="Q184" i="4"/>
  <c r="D156" i="17"/>
  <c r="D182" i="4"/>
  <c r="D157" i="17"/>
  <c r="D183" i="4"/>
  <c r="D149" i="17"/>
  <c r="Q173" i="4"/>
  <c r="D145" i="17"/>
  <c r="Q171" i="4"/>
  <c r="D143" i="17"/>
  <c r="D175" i="4"/>
  <c r="D146" i="17"/>
  <c r="D172" i="4"/>
  <c r="E174" i="4"/>
  <c r="E146" i="17" s="1"/>
  <c r="D179" i="4"/>
  <c r="D186" i="4"/>
  <c r="D222" i="4"/>
  <c r="D176" i="4"/>
  <c r="D212" i="4"/>
  <c r="D187" i="4"/>
  <c r="D198" i="4"/>
  <c r="D213" i="4"/>
  <c r="D228" i="4"/>
  <c r="D181" i="4"/>
  <c r="D199" i="4"/>
  <c r="D217" i="4"/>
  <c r="D237" i="4"/>
  <c r="D238" i="4"/>
  <c r="E148" i="4"/>
  <c r="F148" i="4"/>
  <c r="G148" i="4"/>
  <c r="E12" i="33" l="1"/>
  <c r="I12" i="33" s="1"/>
  <c r="G12" i="33"/>
  <c r="E13" i="33" s="1"/>
  <c r="I13" i="33" s="1"/>
  <c r="G13" i="33"/>
  <c r="D206" i="17"/>
  <c r="D163" i="17"/>
  <c r="D164" i="17"/>
  <c r="Q167" i="4"/>
  <c r="D181" i="17"/>
  <c r="D183" i="17"/>
  <c r="Q166" i="4"/>
  <c r="D161" i="17"/>
  <c r="D173" i="17"/>
  <c r="D179" i="17"/>
  <c r="D150" i="17"/>
  <c r="D192" i="17"/>
  <c r="D137" i="17"/>
  <c r="D140" i="17"/>
  <c r="D190" i="17"/>
  <c r="D167" i="17"/>
  <c r="D196" i="17"/>
  <c r="Q224" i="4"/>
  <c r="D197" i="17"/>
  <c r="D186" i="17"/>
  <c r="D168" i="17"/>
  <c r="Q237" i="4"/>
  <c r="D209" i="17"/>
  <c r="Q232" i="4"/>
  <c r="D204" i="17"/>
  <c r="Q238" i="4"/>
  <c r="D210" i="17"/>
  <c r="Q235" i="4"/>
  <c r="D207" i="17"/>
  <c r="Q231" i="4"/>
  <c r="D203" i="17"/>
  <c r="Q229" i="4"/>
  <c r="D201" i="17"/>
  <c r="Q228" i="4"/>
  <c r="D200" i="17"/>
  <c r="Q226" i="4"/>
  <c r="D198" i="17"/>
  <c r="Q222" i="4"/>
  <c r="D194" i="17"/>
  <c r="Q223" i="4"/>
  <c r="D195" i="17"/>
  <c r="Q219" i="4"/>
  <c r="D191" i="17"/>
  <c r="Q217" i="4"/>
  <c r="D189" i="17"/>
  <c r="Q216" i="4"/>
  <c r="D188" i="17"/>
  <c r="Q215" i="4"/>
  <c r="D187" i="17"/>
  <c r="Q213" i="4"/>
  <c r="D185" i="17"/>
  <c r="Q205" i="4"/>
  <c r="D177" i="17"/>
  <c r="D178" i="17"/>
  <c r="Q206" i="4"/>
  <c r="Q212" i="4"/>
  <c r="D184" i="17"/>
  <c r="Q204" i="4"/>
  <c r="D176" i="17"/>
  <c r="Q202" i="4"/>
  <c r="D174" i="17"/>
  <c r="Q199" i="4"/>
  <c r="D171" i="17"/>
  <c r="Q198" i="4"/>
  <c r="D170" i="17"/>
  <c r="Q197" i="4"/>
  <c r="D169" i="17"/>
  <c r="Q194" i="4"/>
  <c r="D166" i="17"/>
  <c r="Q193" i="4"/>
  <c r="D165" i="17"/>
  <c r="Q186" i="4"/>
  <c r="D158" i="17"/>
  <c r="Q183" i="4"/>
  <c r="D155" i="17"/>
  <c r="Q182" i="4"/>
  <c r="D154" i="17"/>
  <c r="Q187" i="4"/>
  <c r="D159" i="17"/>
  <c r="Q181" i="4"/>
  <c r="D153" i="17"/>
  <c r="Q180" i="4"/>
  <c r="D152" i="17"/>
  <c r="Q179" i="4"/>
  <c r="D151" i="17"/>
  <c r="Q176" i="4"/>
  <c r="D148" i="17"/>
  <c r="Q175" i="4"/>
  <c r="D147" i="17"/>
  <c r="Q172" i="4"/>
  <c r="D144" i="17"/>
  <c r="Q170" i="4"/>
  <c r="D142" i="17"/>
  <c r="Q169" i="4"/>
  <c r="D141" i="17"/>
  <c r="AC49" i="1"/>
  <c r="AB49" i="1"/>
  <c r="AB66" i="1"/>
  <c r="AB65" i="1"/>
  <c r="AB61" i="1"/>
  <c r="P255" i="4"/>
  <c r="P24" i="18"/>
  <c r="K104" i="17"/>
  <c r="J104" i="17"/>
  <c r="I104" i="17"/>
  <c r="H104" i="17"/>
  <c r="G104" i="17"/>
  <c r="F104" i="17"/>
  <c r="E104" i="17"/>
  <c r="D104" i="17"/>
  <c r="D131" i="17"/>
  <c r="P242" i="4"/>
  <c r="D242" i="4" s="1"/>
  <c r="E5" i="14"/>
  <c r="I7" i="14"/>
  <c r="C113" i="17"/>
  <c r="D113" i="17"/>
  <c r="E113" i="17"/>
  <c r="F113" i="17"/>
  <c r="G113" i="17"/>
  <c r="H113" i="17"/>
  <c r="I113" i="17"/>
  <c r="J113" i="17"/>
  <c r="K113" i="17"/>
  <c r="C114" i="17"/>
  <c r="D114" i="17"/>
  <c r="E114" i="17"/>
  <c r="F114" i="17"/>
  <c r="G114" i="17"/>
  <c r="H114" i="17"/>
  <c r="I114" i="17"/>
  <c r="J114" i="17"/>
  <c r="K114" i="17"/>
  <c r="C106" i="17"/>
  <c r="D106" i="17"/>
  <c r="E106" i="17"/>
  <c r="F106" i="17"/>
  <c r="G106" i="17"/>
  <c r="H106" i="17"/>
  <c r="I106" i="17"/>
  <c r="J106" i="17"/>
  <c r="K106" i="17"/>
  <c r="E14" i="33" l="1"/>
  <c r="I14" i="33" s="1"/>
  <c r="P241" i="4"/>
  <c r="D241" i="4" s="1"/>
  <c r="C222" i="17"/>
  <c r="E242" i="4"/>
  <c r="P256" i="4"/>
  <c r="E255" i="4"/>
  <c r="D255" i="4"/>
  <c r="E6" i="14"/>
  <c r="D6" i="14" s="1"/>
  <c r="I6" i="14"/>
  <c r="E8" i="14"/>
  <c r="D8" i="14" s="1"/>
  <c r="E7" i="14" s="1"/>
  <c r="I8" i="14"/>
  <c r="H8" i="14" s="1"/>
  <c r="I30" i="14"/>
  <c r="H30" i="14" s="1"/>
  <c r="I29" i="14" s="1"/>
  <c r="E30" i="14"/>
  <c r="D30" i="14" s="1"/>
  <c r="E29" i="14" s="1"/>
  <c r="I28" i="14"/>
  <c r="H28" i="14" s="1"/>
  <c r="I27" i="14" s="1"/>
  <c r="E28" i="14"/>
  <c r="D28" i="14" s="1"/>
  <c r="E27" i="14" s="1"/>
  <c r="I26" i="14"/>
  <c r="H26" i="14" s="1"/>
  <c r="I25" i="14" s="1"/>
  <c r="E26" i="14"/>
  <c r="D26" i="14" s="1"/>
  <c r="E25" i="14" s="1"/>
  <c r="I24" i="14"/>
  <c r="H24" i="14" s="1"/>
  <c r="I23" i="14" s="1"/>
  <c r="E24" i="14"/>
  <c r="D24" i="14" s="1"/>
  <c r="E23" i="14" s="1"/>
  <c r="I22" i="14"/>
  <c r="H22" i="14" s="1"/>
  <c r="I21" i="14" s="1"/>
  <c r="E22" i="14"/>
  <c r="D22" i="14" s="1"/>
  <c r="E21" i="14" s="1"/>
  <c r="I20" i="14"/>
  <c r="H20" i="14" s="1"/>
  <c r="I19" i="14" s="1"/>
  <c r="E20" i="14"/>
  <c r="D20" i="14" s="1"/>
  <c r="E19" i="14" s="1"/>
  <c r="C16" i="21"/>
  <c r="H5" i="21"/>
  <c r="P24" i="1"/>
  <c r="Q252" i="4"/>
  <c r="G14" i="33" l="1"/>
  <c r="E241" i="4"/>
  <c r="H6" i="14"/>
  <c r="I5" i="14" s="1"/>
  <c r="Q255" i="4"/>
  <c r="Q241" i="4"/>
  <c r="C17" i="21"/>
  <c r="C18" i="21" s="1"/>
  <c r="C19" i="21" s="1"/>
  <c r="F20" i="9"/>
  <c r="G20" i="9"/>
  <c r="G19" i="9"/>
  <c r="F19" i="9"/>
  <c r="K19" i="9"/>
  <c r="G17" i="9"/>
  <c r="G16" i="9"/>
  <c r="F17" i="9"/>
  <c r="F16" i="9"/>
  <c r="B29" i="9"/>
  <c r="C29" i="9"/>
  <c r="B30" i="9"/>
  <c r="C30" i="9"/>
  <c r="B31" i="9"/>
  <c r="C31" i="9"/>
  <c r="B32" i="9"/>
  <c r="C32" i="9"/>
  <c r="B33" i="9"/>
  <c r="C33" i="9"/>
  <c r="B34" i="9"/>
  <c r="C34" i="9"/>
  <c r="B35" i="9"/>
  <c r="C35" i="9"/>
  <c r="B36" i="9"/>
  <c r="C36" i="9"/>
  <c r="B37" i="9"/>
  <c r="C37" i="9"/>
  <c r="C28" i="9"/>
  <c r="B28" i="9"/>
  <c r="B17" i="9"/>
  <c r="C17" i="9"/>
  <c r="B18" i="9"/>
  <c r="C18" i="9"/>
  <c r="B19" i="9"/>
  <c r="C19" i="9"/>
  <c r="B20" i="9"/>
  <c r="C20" i="9"/>
  <c r="B21" i="9"/>
  <c r="C21" i="9"/>
  <c r="B22" i="9"/>
  <c r="C22" i="9"/>
  <c r="B23" i="9"/>
  <c r="C23" i="9"/>
  <c r="B24" i="9"/>
  <c r="C24" i="9"/>
  <c r="B25" i="9"/>
  <c r="C25" i="9"/>
  <c r="C16" i="9"/>
  <c r="A9" i="9"/>
  <c r="A13" i="9"/>
  <c r="B16" i="9"/>
  <c r="AB13" i="9"/>
  <c r="AC13" i="9"/>
  <c r="AD13" i="9"/>
  <c r="AE13" i="9"/>
  <c r="AF13" i="9"/>
  <c r="AG13" i="9"/>
  <c r="AH13" i="9"/>
  <c r="AI13" i="9"/>
  <c r="AJ13" i="9"/>
  <c r="AK13" i="9"/>
  <c r="AL13" i="9"/>
  <c r="AM13" i="9"/>
  <c r="AN13" i="9"/>
  <c r="AO13" i="9"/>
  <c r="AB14" i="9"/>
  <c r="AC14" i="9"/>
  <c r="AD14" i="9"/>
  <c r="AE14" i="9"/>
  <c r="AF14" i="9"/>
  <c r="AG14" i="9"/>
  <c r="AH14" i="9"/>
  <c r="AI14" i="9"/>
  <c r="AJ14" i="9"/>
  <c r="AK14" i="9"/>
  <c r="AL14" i="9"/>
  <c r="AM14" i="9"/>
  <c r="AN14" i="9"/>
  <c r="AO14" i="9"/>
  <c r="AC12" i="9"/>
  <c r="AD12" i="9"/>
  <c r="AE12" i="9"/>
  <c r="AF12" i="9"/>
  <c r="AG12" i="9"/>
  <c r="AH12" i="9"/>
  <c r="AI12" i="9"/>
  <c r="AJ12" i="9"/>
  <c r="AK12" i="9"/>
  <c r="AL12" i="9"/>
  <c r="AM12" i="9"/>
  <c r="AN12" i="9"/>
  <c r="AO12" i="9"/>
  <c r="AB12" i="9"/>
  <c r="AC124" i="9"/>
  <c r="AD124" i="9"/>
  <c r="AE124" i="9"/>
  <c r="AF124" i="9"/>
  <c r="AG124" i="9"/>
  <c r="AH124" i="9"/>
  <c r="AI124" i="9"/>
  <c r="AJ124" i="9"/>
  <c r="AK124" i="9"/>
  <c r="AL124" i="9"/>
  <c r="AM124" i="9"/>
  <c r="AN124" i="9"/>
  <c r="AO124" i="9"/>
  <c r="AB124" i="9"/>
  <c r="AC123" i="9"/>
  <c r="AD123" i="9"/>
  <c r="AE123" i="9"/>
  <c r="AF123" i="9"/>
  <c r="AG123" i="9"/>
  <c r="AH123" i="9"/>
  <c r="AI123" i="9"/>
  <c r="AJ123" i="9"/>
  <c r="AK123" i="9"/>
  <c r="AL123" i="9"/>
  <c r="AM123" i="9"/>
  <c r="AN123" i="9"/>
  <c r="AO123" i="9"/>
  <c r="AB123" i="9"/>
  <c r="AC121" i="9"/>
  <c r="AD121" i="9"/>
  <c r="AE121" i="9"/>
  <c r="AF121" i="9"/>
  <c r="AG121" i="9"/>
  <c r="AH121" i="9"/>
  <c r="AI121" i="9"/>
  <c r="AJ121" i="9"/>
  <c r="AK121" i="9"/>
  <c r="AL121" i="9"/>
  <c r="AM121" i="9"/>
  <c r="AN121" i="9"/>
  <c r="AO121" i="9"/>
  <c r="AB121" i="9"/>
  <c r="AC120" i="9"/>
  <c r="AD120" i="9"/>
  <c r="AE120" i="9"/>
  <c r="AF120" i="9"/>
  <c r="AG120" i="9"/>
  <c r="AH120" i="9"/>
  <c r="AI120" i="9"/>
  <c r="AJ120" i="9"/>
  <c r="AK120" i="9"/>
  <c r="AL120" i="9"/>
  <c r="AM120" i="9"/>
  <c r="AN120" i="9"/>
  <c r="AO120" i="9"/>
  <c r="AB120" i="9"/>
  <c r="AC116" i="9"/>
  <c r="AD116" i="9"/>
  <c r="AE116" i="9"/>
  <c r="AF116" i="9"/>
  <c r="AG116" i="9"/>
  <c r="AH116" i="9"/>
  <c r="AI116" i="9"/>
  <c r="AJ116" i="9"/>
  <c r="AK116" i="9"/>
  <c r="AL116" i="9"/>
  <c r="AM116" i="9"/>
  <c r="AN116" i="9"/>
  <c r="AO116" i="9"/>
  <c r="AB116" i="9"/>
  <c r="AC115" i="9"/>
  <c r="AD115" i="9"/>
  <c r="AE115" i="9"/>
  <c r="AF115" i="9"/>
  <c r="AG115" i="9"/>
  <c r="AH115" i="9"/>
  <c r="AI115" i="9"/>
  <c r="AJ115" i="9"/>
  <c r="AK115" i="9"/>
  <c r="AL115" i="9"/>
  <c r="AM115" i="9"/>
  <c r="AN115" i="9"/>
  <c r="AO115" i="9"/>
  <c r="AB115" i="9"/>
  <c r="AC113" i="9"/>
  <c r="AD113" i="9"/>
  <c r="AE113" i="9"/>
  <c r="AF113" i="9"/>
  <c r="AG113" i="9"/>
  <c r="AH113" i="9"/>
  <c r="AI113" i="9"/>
  <c r="AJ113" i="9"/>
  <c r="AK113" i="9"/>
  <c r="AL113" i="9"/>
  <c r="AM113" i="9"/>
  <c r="AN113" i="9"/>
  <c r="AO113" i="9"/>
  <c r="AB113" i="9"/>
  <c r="AC112" i="9"/>
  <c r="AD112" i="9"/>
  <c r="AE112" i="9"/>
  <c r="AF112" i="9"/>
  <c r="AG112" i="9"/>
  <c r="AH112" i="9"/>
  <c r="AI112" i="9"/>
  <c r="AJ112" i="9"/>
  <c r="AK112" i="9"/>
  <c r="AL112" i="9"/>
  <c r="AM112" i="9"/>
  <c r="AN112" i="9"/>
  <c r="AO112" i="9"/>
  <c r="AB112" i="9"/>
  <c r="AC108" i="9"/>
  <c r="AD108" i="9"/>
  <c r="AE108" i="9"/>
  <c r="AF108" i="9"/>
  <c r="AG108" i="9"/>
  <c r="AH108" i="9"/>
  <c r="AI108" i="9"/>
  <c r="AJ108" i="9"/>
  <c r="AK108" i="9"/>
  <c r="AL108" i="9"/>
  <c r="AM108" i="9"/>
  <c r="AN108" i="9"/>
  <c r="AO108" i="9"/>
  <c r="AB108" i="9"/>
  <c r="AC107" i="9"/>
  <c r="AD107" i="9"/>
  <c r="AE107" i="9"/>
  <c r="AF107" i="9"/>
  <c r="AG107" i="9"/>
  <c r="AH107" i="9"/>
  <c r="AI107" i="9"/>
  <c r="AJ107" i="9"/>
  <c r="AK107" i="9"/>
  <c r="AL107" i="9"/>
  <c r="AM107" i="9"/>
  <c r="AN107" i="9"/>
  <c r="AO107" i="9"/>
  <c r="AB107" i="9"/>
  <c r="AC105" i="9"/>
  <c r="AD105" i="9"/>
  <c r="AE105" i="9"/>
  <c r="AF105" i="9"/>
  <c r="AG105" i="9"/>
  <c r="AH105" i="9"/>
  <c r="AI105" i="9"/>
  <c r="AJ105" i="9"/>
  <c r="AK105" i="9"/>
  <c r="AL105" i="9"/>
  <c r="AM105" i="9"/>
  <c r="AN105" i="9"/>
  <c r="AO105" i="9"/>
  <c r="AB105" i="9"/>
  <c r="AC104" i="9"/>
  <c r="AD104" i="9"/>
  <c r="AE104" i="9"/>
  <c r="AF104" i="9"/>
  <c r="AG104" i="9"/>
  <c r="AH104" i="9"/>
  <c r="AI104" i="9"/>
  <c r="AJ104" i="9"/>
  <c r="AK104" i="9"/>
  <c r="AL104" i="9"/>
  <c r="AM104" i="9"/>
  <c r="AN104" i="9"/>
  <c r="AO104" i="9"/>
  <c r="AB104" i="9"/>
  <c r="AC100" i="9"/>
  <c r="AD100" i="9"/>
  <c r="AE100" i="9"/>
  <c r="AF100" i="9"/>
  <c r="AG100" i="9"/>
  <c r="AH100" i="9"/>
  <c r="AI100" i="9"/>
  <c r="AJ100" i="9"/>
  <c r="AK100" i="9"/>
  <c r="AL100" i="9"/>
  <c r="AM100" i="9"/>
  <c r="AN100" i="9"/>
  <c r="AO100" i="9"/>
  <c r="AB100" i="9"/>
  <c r="AC99" i="9"/>
  <c r="AD99" i="9"/>
  <c r="AE99" i="9"/>
  <c r="AF99" i="9"/>
  <c r="AG99" i="9"/>
  <c r="AH99" i="9"/>
  <c r="AI99" i="9"/>
  <c r="AJ99" i="9"/>
  <c r="AK99" i="9"/>
  <c r="AL99" i="9"/>
  <c r="AM99" i="9"/>
  <c r="AN99" i="9"/>
  <c r="AO99" i="9"/>
  <c r="AB99" i="9"/>
  <c r="AC97" i="9"/>
  <c r="AD97" i="9"/>
  <c r="AE97" i="9"/>
  <c r="AF97" i="9"/>
  <c r="AG97" i="9"/>
  <c r="AH97" i="9"/>
  <c r="AI97" i="9"/>
  <c r="AJ97" i="9"/>
  <c r="AK97" i="9"/>
  <c r="AL97" i="9"/>
  <c r="AM97" i="9"/>
  <c r="AN97" i="9"/>
  <c r="AO97" i="9"/>
  <c r="AB97" i="9"/>
  <c r="AC96" i="9"/>
  <c r="AD96" i="9"/>
  <c r="AE96" i="9"/>
  <c r="AF96" i="9"/>
  <c r="AG96" i="9"/>
  <c r="AH96" i="9"/>
  <c r="AI96" i="9"/>
  <c r="AJ96" i="9"/>
  <c r="AK96" i="9"/>
  <c r="AL96" i="9"/>
  <c r="AM96" i="9"/>
  <c r="AN96" i="9"/>
  <c r="AO96" i="9"/>
  <c r="AB96" i="9"/>
  <c r="AC92" i="9"/>
  <c r="AD92" i="9"/>
  <c r="AE92" i="9"/>
  <c r="AF92" i="9"/>
  <c r="AG92" i="9"/>
  <c r="AH92" i="9"/>
  <c r="AI92" i="9"/>
  <c r="AJ92" i="9"/>
  <c r="AK92" i="9"/>
  <c r="AL92" i="9"/>
  <c r="AM92" i="9"/>
  <c r="AN92" i="9"/>
  <c r="AO92" i="9"/>
  <c r="AB92" i="9"/>
  <c r="AC91" i="9"/>
  <c r="AD91" i="9"/>
  <c r="AE91" i="9"/>
  <c r="AF91" i="9"/>
  <c r="AG91" i="9"/>
  <c r="AH91" i="9"/>
  <c r="AI91" i="9"/>
  <c r="AJ91" i="9"/>
  <c r="AK91" i="9"/>
  <c r="AL91" i="9"/>
  <c r="AM91" i="9"/>
  <c r="AN91" i="9"/>
  <c r="AO91" i="9"/>
  <c r="AB91" i="9"/>
  <c r="AC89" i="9"/>
  <c r="AD89" i="9"/>
  <c r="AE89" i="9"/>
  <c r="AF89" i="9"/>
  <c r="AG89" i="9"/>
  <c r="AH89" i="9"/>
  <c r="AI89" i="9"/>
  <c r="AJ89" i="9"/>
  <c r="AK89" i="9"/>
  <c r="AL89" i="9"/>
  <c r="AM89" i="9"/>
  <c r="AN89" i="9"/>
  <c r="AO89" i="9"/>
  <c r="AB89" i="9"/>
  <c r="AC88" i="9"/>
  <c r="AD88" i="9"/>
  <c r="AE88" i="9"/>
  <c r="AF88" i="9"/>
  <c r="AG88" i="9"/>
  <c r="AH88" i="9"/>
  <c r="AI88" i="9"/>
  <c r="AJ88" i="9"/>
  <c r="AK88" i="9"/>
  <c r="AL88" i="9"/>
  <c r="AM88" i="9"/>
  <c r="AN88" i="9"/>
  <c r="AO88" i="9"/>
  <c r="AB88" i="9"/>
  <c r="AC84" i="9"/>
  <c r="AD84" i="9"/>
  <c r="AE84" i="9"/>
  <c r="AF84" i="9"/>
  <c r="AG84" i="9"/>
  <c r="AH84" i="9"/>
  <c r="AI84" i="9"/>
  <c r="AJ84" i="9"/>
  <c r="AK84" i="9"/>
  <c r="AL84" i="9"/>
  <c r="AM84" i="9"/>
  <c r="AN84" i="9"/>
  <c r="AO84" i="9"/>
  <c r="AB84" i="9"/>
  <c r="AC83" i="9"/>
  <c r="AD83" i="9"/>
  <c r="AE83" i="9"/>
  <c r="AF83" i="9"/>
  <c r="AG83" i="9"/>
  <c r="AH83" i="9"/>
  <c r="AI83" i="9"/>
  <c r="AJ83" i="9"/>
  <c r="AK83" i="9"/>
  <c r="AL83" i="9"/>
  <c r="AM83" i="9"/>
  <c r="AN83" i="9"/>
  <c r="AO83" i="9"/>
  <c r="AB83" i="9"/>
  <c r="AC81" i="9"/>
  <c r="AD81" i="9"/>
  <c r="AE81" i="9"/>
  <c r="AF81" i="9"/>
  <c r="AG81" i="9"/>
  <c r="AH81" i="9"/>
  <c r="AI81" i="9"/>
  <c r="AJ81" i="9"/>
  <c r="AK81" i="9"/>
  <c r="AL81" i="9"/>
  <c r="AM81" i="9"/>
  <c r="AN81" i="9"/>
  <c r="AO81" i="9"/>
  <c r="AB81" i="9"/>
  <c r="AC80" i="9"/>
  <c r="AD80" i="9"/>
  <c r="AE80" i="9"/>
  <c r="AF80" i="9"/>
  <c r="AG80" i="9"/>
  <c r="AH80" i="9"/>
  <c r="AI80" i="9"/>
  <c r="AJ80" i="9"/>
  <c r="AK80" i="9"/>
  <c r="AL80" i="9"/>
  <c r="AM80" i="9"/>
  <c r="AN80" i="9"/>
  <c r="AO80" i="9"/>
  <c r="AB80" i="9"/>
  <c r="AC76" i="9"/>
  <c r="AD76" i="9"/>
  <c r="AE76" i="9"/>
  <c r="AF76" i="9"/>
  <c r="AG76" i="9"/>
  <c r="AH76" i="9"/>
  <c r="AI76" i="9"/>
  <c r="AJ76" i="9"/>
  <c r="AK76" i="9"/>
  <c r="AL76" i="9"/>
  <c r="AM76" i="9"/>
  <c r="AN76" i="9"/>
  <c r="AO76" i="9"/>
  <c r="AB76" i="9"/>
  <c r="AC75" i="9"/>
  <c r="AD75" i="9"/>
  <c r="AE75" i="9"/>
  <c r="AF75" i="9"/>
  <c r="AG75" i="9"/>
  <c r="AH75" i="9"/>
  <c r="AI75" i="9"/>
  <c r="AJ75" i="9"/>
  <c r="AK75" i="9"/>
  <c r="AL75" i="9"/>
  <c r="AM75" i="9"/>
  <c r="AN75" i="9"/>
  <c r="AO75" i="9"/>
  <c r="AB75" i="9"/>
  <c r="AC73" i="9"/>
  <c r="AD73" i="9"/>
  <c r="AE73" i="9"/>
  <c r="AF73" i="9"/>
  <c r="AG73" i="9"/>
  <c r="AH73" i="9"/>
  <c r="AI73" i="9"/>
  <c r="AJ73" i="9"/>
  <c r="AK73" i="9"/>
  <c r="AL73" i="9"/>
  <c r="AM73" i="9"/>
  <c r="AN73" i="9"/>
  <c r="AO73" i="9"/>
  <c r="AB73" i="9"/>
  <c r="AC72" i="9"/>
  <c r="AD72" i="9"/>
  <c r="AE72" i="9"/>
  <c r="AF72" i="9"/>
  <c r="AG72" i="9"/>
  <c r="AH72" i="9"/>
  <c r="AI72" i="9"/>
  <c r="AJ72" i="9"/>
  <c r="AK72" i="9"/>
  <c r="AL72" i="9"/>
  <c r="AM72" i="9"/>
  <c r="AN72" i="9"/>
  <c r="AO72" i="9"/>
  <c r="AB72" i="9"/>
  <c r="AC68" i="9"/>
  <c r="AD68" i="9"/>
  <c r="AE68" i="9"/>
  <c r="AF68" i="9"/>
  <c r="AG68" i="9"/>
  <c r="AH68" i="9"/>
  <c r="AI68" i="9"/>
  <c r="AJ68" i="9"/>
  <c r="AK68" i="9"/>
  <c r="AL68" i="9"/>
  <c r="AM68" i="9"/>
  <c r="AN68" i="9"/>
  <c r="AO68" i="9"/>
  <c r="AB68" i="9"/>
  <c r="AC67" i="9"/>
  <c r="AD67" i="9"/>
  <c r="AE67" i="9"/>
  <c r="AF67" i="9"/>
  <c r="AG67" i="9"/>
  <c r="AH67" i="9"/>
  <c r="AI67" i="9"/>
  <c r="AJ67" i="9"/>
  <c r="AK67" i="9"/>
  <c r="AL67" i="9"/>
  <c r="AM67" i="9"/>
  <c r="AN67" i="9"/>
  <c r="AO67" i="9"/>
  <c r="AB67" i="9"/>
  <c r="AC65" i="9"/>
  <c r="AD65" i="9"/>
  <c r="AE65" i="9"/>
  <c r="AF65" i="9"/>
  <c r="AG65" i="9"/>
  <c r="AH65" i="9"/>
  <c r="AI65" i="9"/>
  <c r="AJ65" i="9"/>
  <c r="AK65" i="9"/>
  <c r="AL65" i="9"/>
  <c r="AM65" i="9"/>
  <c r="AN65" i="9"/>
  <c r="AO65" i="9"/>
  <c r="AB65" i="9"/>
  <c r="AC64" i="9"/>
  <c r="AD64" i="9"/>
  <c r="AE64" i="9"/>
  <c r="AF64" i="9"/>
  <c r="AG64" i="9"/>
  <c r="AH64" i="9"/>
  <c r="AI64" i="9"/>
  <c r="AJ64" i="9"/>
  <c r="AK64" i="9"/>
  <c r="AL64" i="9"/>
  <c r="AM64" i="9"/>
  <c r="AN64" i="9"/>
  <c r="AO64" i="9"/>
  <c r="AB64" i="9"/>
  <c r="AC60" i="9"/>
  <c r="AD60" i="9"/>
  <c r="AE60" i="9"/>
  <c r="AF60" i="9"/>
  <c r="AG60" i="9"/>
  <c r="AH60" i="9"/>
  <c r="AI60" i="9"/>
  <c r="AJ60" i="9"/>
  <c r="AK60" i="9"/>
  <c r="AL60" i="9"/>
  <c r="AM60" i="9"/>
  <c r="AN60" i="9"/>
  <c r="AO60" i="9"/>
  <c r="AB60" i="9"/>
  <c r="AC59" i="9"/>
  <c r="AD59" i="9"/>
  <c r="AE59" i="9"/>
  <c r="AF59" i="9"/>
  <c r="AG59" i="9"/>
  <c r="AH59" i="9"/>
  <c r="AI59" i="9"/>
  <c r="AJ59" i="9"/>
  <c r="AK59" i="9"/>
  <c r="AL59" i="9"/>
  <c r="AM59" i="9"/>
  <c r="AN59" i="9"/>
  <c r="AO59" i="9"/>
  <c r="AB59" i="9"/>
  <c r="AC57" i="9"/>
  <c r="AD57" i="9"/>
  <c r="AE57" i="9"/>
  <c r="AF57" i="9"/>
  <c r="AG57" i="9"/>
  <c r="AH57" i="9"/>
  <c r="AI57" i="9"/>
  <c r="AJ57" i="9"/>
  <c r="AK57" i="9"/>
  <c r="AL57" i="9"/>
  <c r="AM57" i="9"/>
  <c r="AN57" i="9"/>
  <c r="AO57" i="9"/>
  <c r="AB57" i="9"/>
  <c r="AC56" i="9"/>
  <c r="AD56" i="9"/>
  <c r="AE56" i="9"/>
  <c r="AF56" i="9"/>
  <c r="AG56" i="9"/>
  <c r="AH56" i="9"/>
  <c r="AI56" i="9"/>
  <c r="AJ56" i="9"/>
  <c r="AK56" i="9"/>
  <c r="AL56" i="9"/>
  <c r="AM56" i="9"/>
  <c r="AN56" i="9"/>
  <c r="AO56" i="9"/>
  <c r="AB56" i="9"/>
  <c r="AB48" i="9"/>
  <c r="AC52" i="9"/>
  <c r="AD52" i="9"/>
  <c r="AE52" i="9"/>
  <c r="AF52" i="9"/>
  <c r="AG52" i="9"/>
  <c r="AH52" i="9"/>
  <c r="AI52" i="9"/>
  <c r="AJ52" i="9"/>
  <c r="AK52" i="9"/>
  <c r="AL52" i="9"/>
  <c r="AM52" i="9"/>
  <c r="AN52" i="9"/>
  <c r="AO52" i="9"/>
  <c r="AB52" i="9"/>
  <c r="AC51" i="9"/>
  <c r="AD51" i="9"/>
  <c r="AE51" i="9"/>
  <c r="AF51" i="9"/>
  <c r="AG51" i="9"/>
  <c r="AH51" i="9"/>
  <c r="AI51" i="9"/>
  <c r="AJ51" i="9"/>
  <c r="AK51" i="9"/>
  <c r="AL51" i="9"/>
  <c r="AM51" i="9"/>
  <c r="AN51" i="9"/>
  <c r="AO51" i="9"/>
  <c r="AB51" i="9"/>
  <c r="AC49" i="9"/>
  <c r="AD49" i="9"/>
  <c r="AE49" i="9"/>
  <c r="AF49" i="9"/>
  <c r="AG49" i="9"/>
  <c r="AH49" i="9"/>
  <c r="AI49" i="9"/>
  <c r="AJ49" i="9"/>
  <c r="AK49" i="9"/>
  <c r="AL49" i="9"/>
  <c r="AM49" i="9"/>
  <c r="AN49" i="9"/>
  <c r="AO49" i="9"/>
  <c r="AB49" i="9"/>
  <c r="AC48" i="9"/>
  <c r="AD48" i="9"/>
  <c r="AE48" i="9"/>
  <c r="AF48" i="9"/>
  <c r="AG48" i="9"/>
  <c r="AH48" i="9"/>
  <c r="AI48" i="9"/>
  <c r="AJ48" i="9"/>
  <c r="AK48" i="9"/>
  <c r="AL48" i="9"/>
  <c r="AM48" i="9"/>
  <c r="AN48" i="9"/>
  <c r="AO48" i="9"/>
  <c r="AC44" i="9"/>
  <c r="AD44" i="9"/>
  <c r="AE44" i="9"/>
  <c r="AF44" i="9"/>
  <c r="AG44" i="9"/>
  <c r="AH44" i="9"/>
  <c r="AI44" i="9"/>
  <c r="AJ44" i="9"/>
  <c r="AK44" i="9"/>
  <c r="AL44" i="9"/>
  <c r="AM44" i="9"/>
  <c r="AN44" i="9"/>
  <c r="AO44" i="9"/>
  <c r="AB44" i="9"/>
  <c r="AC43" i="9"/>
  <c r="AD43" i="9"/>
  <c r="AE43" i="9"/>
  <c r="AF43" i="9"/>
  <c r="AG43" i="9"/>
  <c r="AH43" i="9"/>
  <c r="AI43" i="9"/>
  <c r="AJ43" i="9"/>
  <c r="AK43" i="9"/>
  <c r="AL43" i="9"/>
  <c r="AM43" i="9"/>
  <c r="AN43" i="9"/>
  <c r="AO43" i="9"/>
  <c r="AB43" i="9"/>
  <c r="AC41" i="9"/>
  <c r="AD41" i="9"/>
  <c r="AE41" i="9"/>
  <c r="AF41" i="9"/>
  <c r="AG41" i="9"/>
  <c r="AH41" i="9"/>
  <c r="AI41" i="9"/>
  <c r="AJ41" i="9"/>
  <c r="AK41" i="9"/>
  <c r="AL41" i="9"/>
  <c r="AM41" i="9"/>
  <c r="AN41" i="9"/>
  <c r="AO41" i="9"/>
  <c r="AB41" i="9"/>
  <c r="AC40" i="9"/>
  <c r="AD40" i="9"/>
  <c r="AE40" i="9"/>
  <c r="AF40" i="9"/>
  <c r="AG40" i="9"/>
  <c r="AH40" i="9"/>
  <c r="AI40" i="9"/>
  <c r="AJ40" i="9"/>
  <c r="AK40" i="9"/>
  <c r="AL40" i="9"/>
  <c r="AM40" i="9"/>
  <c r="AN40" i="9"/>
  <c r="AO40" i="9"/>
  <c r="AB40" i="9"/>
  <c r="AC36" i="9"/>
  <c r="AD36" i="9"/>
  <c r="AE36" i="9"/>
  <c r="AF36" i="9"/>
  <c r="AG36" i="9"/>
  <c r="AH36" i="9"/>
  <c r="AI36" i="9"/>
  <c r="AJ36" i="9"/>
  <c r="AK36" i="9"/>
  <c r="AL36" i="9"/>
  <c r="AM36" i="9"/>
  <c r="AN36" i="9"/>
  <c r="AO36" i="9"/>
  <c r="AB36" i="9"/>
  <c r="AC35" i="9"/>
  <c r="AD35" i="9"/>
  <c r="AE35" i="9"/>
  <c r="AF35" i="9"/>
  <c r="AG35" i="9"/>
  <c r="AH35" i="9"/>
  <c r="AI35" i="9"/>
  <c r="AJ35" i="9"/>
  <c r="AK35" i="9"/>
  <c r="AL35" i="9"/>
  <c r="AM35" i="9"/>
  <c r="AN35" i="9"/>
  <c r="AO35" i="9"/>
  <c r="AB35" i="9"/>
  <c r="AC33" i="9"/>
  <c r="AD33" i="9"/>
  <c r="AE33" i="9"/>
  <c r="AF33" i="9"/>
  <c r="AG33" i="9"/>
  <c r="AH33" i="9"/>
  <c r="AI33" i="9"/>
  <c r="AJ33" i="9"/>
  <c r="AK33" i="9"/>
  <c r="AL33" i="9"/>
  <c r="AM33" i="9"/>
  <c r="AN33" i="9"/>
  <c r="AO33" i="9"/>
  <c r="AB33" i="9"/>
  <c r="AC32" i="9"/>
  <c r="AD32" i="9"/>
  <c r="AE32" i="9"/>
  <c r="AF32" i="9"/>
  <c r="AG32" i="9"/>
  <c r="AH32" i="9"/>
  <c r="AI32" i="9"/>
  <c r="AJ32" i="9"/>
  <c r="AK32" i="9"/>
  <c r="AL32" i="9"/>
  <c r="AM32" i="9"/>
  <c r="AN32" i="9"/>
  <c r="AO32" i="9"/>
  <c r="AB32" i="9"/>
  <c r="AC28" i="9"/>
  <c r="AD28" i="9"/>
  <c r="AE28" i="9"/>
  <c r="AF28" i="9"/>
  <c r="AG28" i="9"/>
  <c r="AH28" i="9"/>
  <c r="AI28" i="9"/>
  <c r="AJ28" i="9"/>
  <c r="AK28" i="9"/>
  <c r="AL28" i="9"/>
  <c r="AM28" i="9"/>
  <c r="AN28" i="9"/>
  <c r="AO28" i="9"/>
  <c r="AB28" i="9"/>
  <c r="AC27" i="9"/>
  <c r="AD27" i="9"/>
  <c r="AE27" i="9"/>
  <c r="AF27" i="9"/>
  <c r="AG27" i="9"/>
  <c r="AH27" i="9"/>
  <c r="AI27" i="9"/>
  <c r="AJ27" i="9"/>
  <c r="AK27" i="9"/>
  <c r="AL27" i="9"/>
  <c r="AM27" i="9"/>
  <c r="AN27" i="9"/>
  <c r="AO27" i="9"/>
  <c r="AB27" i="9"/>
  <c r="AC25" i="9"/>
  <c r="AD25" i="9"/>
  <c r="AE25" i="9"/>
  <c r="AF25" i="9"/>
  <c r="AG25" i="9"/>
  <c r="AH25" i="9"/>
  <c r="AI25" i="9"/>
  <c r="AJ25" i="9"/>
  <c r="AK25" i="9"/>
  <c r="AL25" i="9"/>
  <c r="AM25" i="9"/>
  <c r="AN25" i="9"/>
  <c r="AO25" i="9"/>
  <c r="AB25" i="9"/>
  <c r="AC24" i="9"/>
  <c r="AD24" i="9"/>
  <c r="AE24" i="9"/>
  <c r="AF24" i="9"/>
  <c r="AG24" i="9"/>
  <c r="AH24" i="9"/>
  <c r="AI24" i="9"/>
  <c r="AJ24" i="9"/>
  <c r="AK24" i="9"/>
  <c r="AL24" i="9"/>
  <c r="AM24" i="9"/>
  <c r="AN24" i="9"/>
  <c r="AO24" i="9"/>
  <c r="AB24" i="9"/>
  <c r="AC20" i="9"/>
  <c r="AD20" i="9"/>
  <c r="AE20" i="9"/>
  <c r="AF20" i="9"/>
  <c r="AG20" i="9"/>
  <c r="AH20" i="9"/>
  <c r="AI20" i="9"/>
  <c r="AJ20" i="9"/>
  <c r="AK20" i="9"/>
  <c r="AL20" i="9"/>
  <c r="AM20" i="9"/>
  <c r="AN20" i="9"/>
  <c r="AO20" i="9"/>
  <c r="AB20" i="9"/>
  <c r="AC17" i="9"/>
  <c r="AD17" i="9"/>
  <c r="AE17" i="9"/>
  <c r="AF17" i="9"/>
  <c r="AG17" i="9"/>
  <c r="AH17" i="9"/>
  <c r="AI17" i="9"/>
  <c r="AJ17" i="9"/>
  <c r="AK17" i="9"/>
  <c r="AL17" i="9"/>
  <c r="AM17" i="9"/>
  <c r="AN17" i="9"/>
  <c r="AO17" i="9"/>
  <c r="AB17" i="9"/>
  <c r="AC19" i="9"/>
  <c r="AD19" i="9"/>
  <c r="AE19" i="9"/>
  <c r="AF19" i="9"/>
  <c r="AG19" i="9"/>
  <c r="AH19" i="9"/>
  <c r="AI19" i="9"/>
  <c r="AJ19" i="9"/>
  <c r="AK19" i="9"/>
  <c r="AL19" i="9"/>
  <c r="AM19" i="9"/>
  <c r="AN19" i="9"/>
  <c r="AO19" i="9"/>
  <c r="AB19" i="9"/>
  <c r="AC16" i="9"/>
  <c r="AD16" i="9"/>
  <c r="AE16" i="9"/>
  <c r="AF16" i="9"/>
  <c r="AG16" i="9"/>
  <c r="AH16" i="9"/>
  <c r="AI16" i="9"/>
  <c r="AJ16" i="9"/>
  <c r="AK16" i="9"/>
  <c r="AL16" i="9"/>
  <c r="AM16" i="9"/>
  <c r="AN16" i="9"/>
  <c r="AO16" i="9"/>
  <c r="AB16" i="9"/>
  <c r="M19" i="9"/>
  <c r="N19" i="9"/>
  <c r="O19" i="9"/>
  <c r="P19" i="9"/>
  <c r="Q19" i="9"/>
  <c r="R19" i="9"/>
  <c r="S19" i="9"/>
  <c r="T19" i="9"/>
  <c r="U19" i="9"/>
  <c r="V19" i="9"/>
  <c r="W19" i="9"/>
  <c r="X19" i="9"/>
  <c r="Y19" i="9"/>
  <c r="M20" i="9"/>
  <c r="N20" i="9"/>
  <c r="O20" i="9"/>
  <c r="P20" i="9"/>
  <c r="Q20" i="9"/>
  <c r="R20" i="9"/>
  <c r="S20" i="9"/>
  <c r="T20" i="9"/>
  <c r="U20" i="9"/>
  <c r="V20" i="9"/>
  <c r="W20" i="9"/>
  <c r="X20" i="9"/>
  <c r="Y20" i="9"/>
  <c r="K20" i="9"/>
  <c r="M16" i="9"/>
  <c r="N16" i="9"/>
  <c r="O16" i="9"/>
  <c r="P16" i="9"/>
  <c r="Q16" i="9"/>
  <c r="R16" i="9"/>
  <c r="S16" i="9"/>
  <c r="T16" i="9"/>
  <c r="U16" i="9"/>
  <c r="V16" i="9"/>
  <c r="W16" i="9"/>
  <c r="X16" i="9"/>
  <c r="Y16" i="9"/>
  <c r="M17" i="9"/>
  <c r="N17" i="9"/>
  <c r="O17" i="9"/>
  <c r="P17" i="9"/>
  <c r="Q17" i="9"/>
  <c r="R17" i="9"/>
  <c r="S17" i="9"/>
  <c r="T17" i="9"/>
  <c r="U17" i="9"/>
  <c r="V17" i="9"/>
  <c r="W17" i="9"/>
  <c r="X17" i="9"/>
  <c r="Y17" i="9"/>
  <c r="K17" i="9"/>
  <c r="K16" i="9"/>
  <c r="E17" i="33" l="1"/>
  <c r="G17" i="33" s="1"/>
  <c r="E15" i="33"/>
  <c r="I15" i="33" s="1"/>
  <c r="C24" i="22"/>
  <c r="C21" i="22"/>
  <c r="C20" i="22"/>
  <c r="C19" i="22"/>
  <c r="C14" i="22"/>
  <c r="C10" i="22"/>
  <c r="C11" i="22" s="1"/>
  <c r="I17" i="33" l="1"/>
  <c r="G15" i="33"/>
  <c r="C12" i="22"/>
  <c r="E157" i="4"/>
  <c r="D157" i="4"/>
  <c r="K126" i="17"/>
  <c r="J126" i="17"/>
  <c r="I126" i="17"/>
  <c r="H126" i="17"/>
  <c r="G126" i="17"/>
  <c r="E126" i="17"/>
  <c r="P244" i="4"/>
  <c r="D162" i="4"/>
  <c r="E162" i="4"/>
  <c r="P258" i="4"/>
  <c r="G268" i="4"/>
  <c r="F235" i="17" s="1"/>
  <c r="P257" i="4"/>
  <c r="P243" i="4"/>
  <c r="D243" i="4" s="1"/>
  <c r="D142" i="4"/>
  <c r="D148" i="4" s="1"/>
  <c r="E142" i="4"/>
  <c r="E143" i="4" s="1"/>
  <c r="F142" i="4"/>
  <c r="F143" i="4" s="1"/>
  <c r="AB64" i="1" s="1"/>
  <c r="G142" i="4"/>
  <c r="C142" i="4"/>
  <c r="C143" i="4" s="1"/>
  <c r="I27" i="1"/>
  <c r="E16" i="33" l="1"/>
  <c r="Q243" i="4"/>
  <c r="C15" i="22"/>
  <c r="C18" i="22"/>
  <c r="C22" i="22" s="1"/>
  <c r="C25" i="22" s="1"/>
  <c r="AB62" i="1"/>
  <c r="G225" i="17"/>
  <c r="H225" i="17"/>
  <c r="I225" i="17"/>
  <c r="J225" i="17"/>
  <c r="G226" i="17"/>
  <c r="H226" i="17"/>
  <c r="I226" i="17"/>
  <c r="J226" i="17"/>
  <c r="F225" i="17"/>
  <c r="G215" i="17"/>
  <c r="H215" i="17"/>
  <c r="I215" i="17"/>
  <c r="J215" i="17"/>
  <c r="G214" i="17"/>
  <c r="H214" i="17"/>
  <c r="I214" i="17"/>
  <c r="J214" i="17"/>
  <c r="F214" i="17"/>
  <c r="I16" i="33" l="1"/>
  <c r="E18" i="33"/>
  <c r="G16" i="33"/>
  <c r="E45" i="16"/>
  <c r="E43" i="16"/>
  <c r="I18" i="33" l="1"/>
  <c r="E35" i="33" s="1"/>
  <c r="G21" i="33"/>
  <c r="H21" i="33" s="1"/>
  <c r="P240" i="4"/>
  <c r="D240" i="4" s="1"/>
  <c r="C212" i="17"/>
  <c r="C11" i="16"/>
  <c r="P254" i="4"/>
  <c r="C213" i="17" l="1"/>
  <c r="E213" i="17" s="1"/>
  <c r="C211" i="17"/>
  <c r="P253" i="4"/>
  <c r="D253" i="4" s="1"/>
  <c r="C220" i="17"/>
  <c r="C10" i="21"/>
  <c r="D10" i="21" s="1"/>
  <c r="G10" i="21"/>
  <c r="C24" i="16"/>
  <c r="R16" i="21"/>
  <c r="R17" i="21" s="1"/>
  <c r="R18" i="21" s="1"/>
  <c r="R19" i="21" s="1"/>
  <c r="R20" i="21" s="1"/>
  <c r="R21" i="21" s="1"/>
  <c r="R22" i="21" s="1"/>
  <c r="R23" i="21" s="1"/>
  <c r="R24" i="21" s="1"/>
  <c r="R25" i="21" s="1"/>
  <c r="D5" i="21"/>
  <c r="C20" i="16" s="1"/>
  <c r="E211" i="17" l="1"/>
  <c r="T24" i="18" s="1"/>
  <c r="D211" i="17"/>
  <c r="N253" i="4"/>
  <c r="N240" i="4"/>
  <c r="G32" i="16"/>
  <c r="F4" i="17"/>
  <c r="H24" i="18" l="1"/>
  <c r="P266" i="4" l="1"/>
  <c r="P264" i="4"/>
  <c r="P267" i="4"/>
  <c r="D267" i="4" s="1"/>
  <c r="P260" i="4"/>
  <c r="P268" i="4"/>
  <c r="P261" i="4"/>
  <c r="E261" i="4" s="1"/>
  <c r="E228" i="17" s="1"/>
  <c r="P262" i="4"/>
  <c r="P263" i="4"/>
  <c r="E263" i="4" s="1"/>
  <c r="E230" i="17" s="1"/>
  <c r="P259" i="4"/>
  <c r="D254" i="4" s="1"/>
  <c r="P265" i="4"/>
  <c r="E265" i="4" s="1"/>
  <c r="E232" i="17" s="1"/>
  <c r="C234" i="17"/>
  <c r="C232" i="17"/>
  <c r="C230" i="17"/>
  <c r="C228" i="17"/>
  <c r="C224" i="17"/>
  <c r="C226" i="17" s="1"/>
  <c r="C219" i="17"/>
  <c r="C218" i="17"/>
  <c r="C217" i="17"/>
  <c r="C216" i="17"/>
  <c r="C214" i="17"/>
  <c r="E130" i="17"/>
  <c r="E131" i="17"/>
  <c r="C223" i="17" s="1"/>
  <c r="E128" i="17"/>
  <c r="F128" i="17"/>
  <c r="K125" i="17"/>
  <c r="J125" i="17"/>
  <c r="I125" i="17"/>
  <c r="H125" i="17"/>
  <c r="G125" i="17"/>
  <c r="F125" i="17"/>
  <c r="E125" i="17"/>
  <c r="C125" i="17"/>
  <c r="K124" i="17"/>
  <c r="J124" i="17"/>
  <c r="I124" i="17"/>
  <c r="H124" i="17"/>
  <c r="G124" i="17"/>
  <c r="F124" i="17"/>
  <c r="E124" i="17"/>
  <c r="D124" i="17"/>
  <c r="C124" i="17"/>
  <c r="K123" i="17"/>
  <c r="J123" i="17"/>
  <c r="I123" i="17"/>
  <c r="H123" i="17"/>
  <c r="G123" i="17"/>
  <c r="F123" i="17"/>
  <c r="E123" i="17"/>
  <c r="D123" i="17"/>
  <c r="C123" i="17"/>
  <c r="K122" i="17"/>
  <c r="J122" i="17"/>
  <c r="I122" i="17"/>
  <c r="H122" i="17"/>
  <c r="G122" i="17"/>
  <c r="F122" i="17"/>
  <c r="E122" i="17"/>
  <c r="D122" i="17"/>
  <c r="C122" i="17"/>
  <c r="K121" i="17"/>
  <c r="J121" i="17"/>
  <c r="I121" i="17"/>
  <c r="H121" i="17"/>
  <c r="G121" i="17"/>
  <c r="F121" i="17"/>
  <c r="E121" i="17"/>
  <c r="D121" i="17"/>
  <c r="C121" i="17"/>
  <c r="K120" i="17"/>
  <c r="J120" i="17"/>
  <c r="I120" i="17"/>
  <c r="H120" i="17"/>
  <c r="G120" i="17"/>
  <c r="F120" i="17"/>
  <c r="E120" i="17"/>
  <c r="D120" i="17"/>
  <c r="C120" i="17"/>
  <c r="K119" i="17"/>
  <c r="J119" i="17"/>
  <c r="I119" i="17"/>
  <c r="H119" i="17"/>
  <c r="G119" i="17"/>
  <c r="F119" i="17"/>
  <c r="E119" i="17"/>
  <c r="D119" i="17"/>
  <c r="C119" i="17"/>
  <c r="K118" i="17"/>
  <c r="J118" i="17"/>
  <c r="I118" i="17"/>
  <c r="H118" i="17"/>
  <c r="G118" i="17"/>
  <c r="F118" i="17"/>
  <c r="E118" i="17"/>
  <c r="D118" i="17"/>
  <c r="C118" i="17"/>
  <c r="K117" i="17"/>
  <c r="J117" i="17"/>
  <c r="I117" i="17"/>
  <c r="H117" i="17"/>
  <c r="G117" i="17"/>
  <c r="F117" i="17"/>
  <c r="E117" i="17"/>
  <c r="D117" i="17"/>
  <c r="C117" i="17"/>
  <c r="K116" i="17"/>
  <c r="J116" i="17"/>
  <c r="I116" i="17"/>
  <c r="H116" i="17"/>
  <c r="G116" i="17"/>
  <c r="F116" i="17"/>
  <c r="E116" i="17"/>
  <c r="D116" i="17"/>
  <c r="C116" i="17"/>
  <c r="K115" i="17"/>
  <c r="J115" i="17"/>
  <c r="I115" i="17"/>
  <c r="H115" i="17"/>
  <c r="G115" i="17"/>
  <c r="F115" i="17"/>
  <c r="E115" i="17"/>
  <c r="D115" i="17"/>
  <c r="C115" i="17"/>
  <c r="K112" i="17"/>
  <c r="J112" i="17"/>
  <c r="I112" i="17"/>
  <c r="H112" i="17"/>
  <c r="G112" i="17"/>
  <c r="F112" i="17"/>
  <c r="E112" i="17"/>
  <c r="D112" i="17"/>
  <c r="C112" i="17"/>
  <c r="K111" i="17"/>
  <c r="J111" i="17"/>
  <c r="I111" i="17"/>
  <c r="H111" i="17"/>
  <c r="G111" i="17"/>
  <c r="F111" i="17"/>
  <c r="E111" i="17"/>
  <c r="D111" i="17"/>
  <c r="C111" i="17"/>
  <c r="K110" i="17"/>
  <c r="J110" i="17"/>
  <c r="I110" i="17"/>
  <c r="H110" i="17"/>
  <c r="G110" i="17"/>
  <c r="F110" i="17"/>
  <c r="E110" i="17"/>
  <c r="D110" i="17"/>
  <c r="C110" i="17"/>
  <c r="K109" i="17"/>
  <c r="J109" i="17"/>
  <c r="I109" i="17"/>
  <c r="H109" i="17"/>
  <c r="G109" i="17"/>
  <c r="F109" i="17"/>
  <c r="E109" i="17"/>
  <c r="D109" i="17"/>
  <c r="C109" i="17"/>
  <c r="K108" i="17"/>
  <c r="J108" i="17"/>
  <c r="I108" i="17"/>
  <c r="H108" i="17"/>
  <c r="G108" i="17"/>
  <c r="F108" i="17"/>
  <c r="E108" i="17"/>
  <c r="D108" i="17"/>
  <c r="C108" i="17"/>
  <c r="K107" i="17"/>
  <c r="J107" i="17"/>
  <c r="I107" i="17"/>
  <c r="H107" i="17"/>
  <c r="G107" i="17"/>
  <c r="F107" i="17"/>
  <c r="E107" i="17"/>
  <c r="D107" i="17"/>
  <c r="C107" i="17"/>
  <c r="K105" i="17"/>
  <c r="J105" i="17"/>
  <c r="I105" i="17"/>
  <c r="H105" i="17"/>
  <c r="G105" i="17"/>
  <c r="F105" i="17"/>
  <c r="E105" i="17"/>
  <c r="D105" i="17"/>
  <c r="C105" i="17"/>
  <c r="H24" i="1"/>
  <c r="G143" i="4" s="1"/>
  <c r="G267" i="4"/>
  <c r="F234" i="17" s="1"/>
  <c r="G266" i="4"/>
  <c r="F233" i="17" s="1"/>
  <c r="G265" i="4"/>
  <c r="F232" i="17" s="1"/>
  <c r="G264" i="4"/>
  <c r="F231" i="17" s="1"/>
  <c r="G263" i="4"/>
  <c r="F230" i="17" s="1"/>
  <c r="G262" i="4"/>
  <c r="F229" i="17" s="1"/>
  <c r="N261" i="4"/>
  <c r="G261" i="4"/>
  <c r="F228" i="17" s="1"/>
  <c r="N260" i="4"/>
  <c r="G260" i="4"/>
  <c r="F227" i="17" s="1"/>
  <c r="N259" i="4"/>
  <c r="G259" i="4"/>
  <c r="F226" i="17" s="1"/>
  <c r="N258" i="4"/>
  <c r="E257" i="4"/>
  <c r="E224" i="17" s="1"/>
  <c r="E24" i="1"/>
  <c r="G251" i="4"/>
  <c r="G250" i="4"/>
  <c r="G249" i="4"/>
  <c r="F219" i="17" s="1"/>
  <c r="G248" i="4"/>
  <c r="F218" i="17" s="1"/>
  <c r="M247" i="4"/>
  <c r="N247" i="4" s="1"/>
  <c r="L247" i="4"/>
  <c r="G247" i="4"/>
  <c r="F217" i="17" s="1"/>
  <c r="M246" i="4"/>
  <c r="N246" i="4" s="1"/>
  <c r="L246" i="4"/>
  <c r="G246" i="4"/>
  <c r="F216" i="17" s="1"/>
  <c r="M245" i="4"/>
  <c r="N245" i="4" s="1"/>
  <c r="L245" i="4"/>
  <c r="G245" i="4"/>
  <c r="F215" i="17" s="1"/>
  <c r="M244" i="4"/>
  <c r="N244" i="4" s="1"/>
  <c r="L244" i="4"/>
  <c r="E243" i="4"/>
  <c r="E214" i="17" s="1"/>
  <c r="E164" i="4"/>
  <c r="D164" i="4"/>
  <c r="E163" i="4"/>
  <c r="D163" i="4"/>
  <c r="E161" i="4"/>
  <c r="D161" i="4"/>
  <c r="E160" i="4"/>
  <c r="D160" i="4"/>
  <c r="E159" i="4"/>
  <c r="D159" i="4"/>
  <c r="E158" i="4"/>
  <c r="D158" i="4"/>
  <c r="E254" i="4" l="1"/>
  <c r="E256" i="4"/>
  <c r="E259" i="4"/>
  <c r="E221" i="17" s="1"/>
  <c r="D256" i="4"/>
  <c r="G128" i="17"/>
  <c r="Q267" i="4"/>
  <c r="C235" i="17"/>
  <c r="E258" i="4"/>
  <c r="E225" i="17" s="1"/>
  <c r="D260" i="4"/>
  <c r="D266" i="4"/>
  <c r="E264" i="4"/>
  <c r="E231" i="17" s="1"/>
  <c r="D262" i="4"/>
  <c r="C215" i="17"/>
  <c r="D257" i="4"/>
  <c r="E267" i="4"/>
  <c r="E234" i="17" s="1"/>
  <c r="D261" i="4"/>
  <c r="C229" i="17"/>
  <c r="C231" i="17"/>
  <c r="C221" i="17"/>
  <c r="C233" i="17"/>
  <c r="C225" i="17"/>
  <c r="E244" i="4"/>
  <c r="D244" i="4"/>
  <c r="D258" i="4"/>
  <c r="D263" i="4"/>
  <c r="D265" i="4"/>
  <c r="I125" i="8"/>
  <c r="I124" i="8"/>
  <c r="I122" i="8"/>
  <c r="I121" i="8"/>
  <c r="I120" i="8"/>
  <c r="I119" i="8"/>
  <c r="I118" i="8"/>
  <c r="I117" i="8"/>
  <c r="I115" i="8"/>
  <c r="I114" i="8"/>
  <c r="I113" i="8"/>
  <c r="I112" i="8"/>
  <c r="I110" i="8"/>
  <c r="I109" i="8"/>
  <c r="I108" i="8"/>
  <c r="I107" i="8"/>
  <c r="I106" i="8"/>
  <c r="I105" i="8"/>
  <c r="I104" i="8"/>
  <c r="I103" i="8"/>
  <c r="I102" i="8"/>
  <c r="I101" i="8"/>
  <c r="I100" i="8"/>
  <c r="I98" i="8"/>
  <c r="I97" i="8"/>
  <c r="I96" i="8"/>
  <c r="I95" i="8"/>
  <c r="I94" i="8"/>
  <c r="I93" i="8"/>
  <c r="I92" i="8"/>
  <c r="I91" i="8"/>
  <c r="I90" i="8"/>
  <c r="I89" i="8"/>
  <c r="I88" i="8"/>
  <c r="I87" i="8"/>
  <c r="I86" i="8"/>
  <c r="I85" i="8"/>
  <c r="I84" i="8"/>
  <c r="I83" i="8"/>
  <c r="I81" i="8"/>
  <c r="I80" i="8"/>
  <c r="I79" i="8"/>
  <c r="I77" i="8"/>
  <c r="I76" i="8"/>
  <c r="I75" i="8"/>
  <c r="I74" i="8"/>
  <c r="I73" i="8"/>
  <c r="I72" i="8"/>
  <c r="I70" i="8"/>
  <c r="I69" i="8"/>
  <c r="I68" i="8"/>
  <c r="I67" i="8"/>
  <c r="I66" i="8"/>
  <c r="I65" i="8"/>
  <c r="I64" i="8"/>
  <c r="I63" i="8"/>
  <c r="I62" i="8"/>
  <c r="I61" i="8"/>
  <c r="I60" i="8"/>
  <c r="I59" i="8"/>
  <c r="I58" i="8"/>
  <c r="I57" i="8"/>
  <c r="I55" i="8"/>
  <c r="I54" i="8"/>
  <c r="I52" i="8"/>
  <c r="I51" i="8"/>
  <c r="I49" i="8"/>
  <c r="I48" i="8"/>
  <c r="I47" i="8"/>
  <c r="I46" i="8"/>
  <c r="I45" i="8"/>
  <c r="I44" i="8"/>
  <c r="I43" i="8"/>
  <c r="I42" i="8"/>
  <c r="I41" i="8"/>
  <c r="I40" i="8"/>
  <c r="I39" i="8"/>
  <c r="I38" i="8"/>
  <c r="I37" i="8"/>
  <c r="I36" i="8"/>
  <c r="I35" i="8"/>
  <c r="I33" i="8"/>
  <c r="I32" i="8"/>
  <c r="I31" i="8"/>
  <c r="I28" i="8"/>
  <c r="I27" i="8"/>
  <c r="I26" i="8"/>
  <c r="I25" i="8"/>
  <c r="I24" i="8"/>
  <c r="I23" i="8"/>
  <c r="I22" i="8"/>
  <c r="I21" i="8"/>
  <c r="I20" i="8"/>
  <c r="I19" i="8"/>
  <c r="I17" i="8"/>
  <c r="E223" i="17" l="1"/>
  <c r="Q244" i="4"/>
  <c r="D233" i="17"/>
  <c r="D229" i="17"/>
  <c r="Q256" i="4"/>
  <c r="D223" i="17"/>
  <c r="Q257" i="4"/>
  <c r="Q258" i="4"/>
  <c r="Q262" i="4"/>
  <c r="D228" i="17"/>
  <c r="Q261" i="4"/>
  <c r="Q263" i="4"/>
  <c r="Q260" i="4"/>
  <c r="Q265" i="4"/>
  <c r="Q266" i="4"/>
  <c r="E268" i="4"/>
  <c r="D268" i="4"/>
  <c r="D143" i="4"/>
  <c r="P250" i="4"/>
  <c r="P248" i="4"/>
  <c r="P249" i="4"/>
  <c r="P247" i="4"/>
  <c r="P246" i="4"/>
  <c r="P245" i="4"/>
  <c r="D245" i="4" s="1"/>
  <c r="D214" i="17" s="1"/>
  <c r="P251" i="4"/>
  <c r="D264" i="4"/>
  <c r="D230" i="17" s="1"/>
  <c r="E266" i="4"/>
  <c r="E233" i="17" s="1"/>
  <c r="E262" i="4"/>
  <c r="E229" i="17" s="1"/>
  <c r="E260" i="4"/>
  <c r="E227" i="17" s="1"/>
  <c r="C227" i="17"/>
  <c r="D259" i="4"/>
  <c r="D224" i="17" s="1"/>
  <c r="E226" i="17"/>
  <c r="D222" i="17"/>
  <c r="E253" i="4"/>
  <c r="D225" i="17" l="1"/>
  <c r="D221" i="17"/>
  <c r="E220" i="17"/>
  <c r="E222" i="17"/>
  <c r="D227" i="17"/>
  <c r="D232" i="17"/>
  <c r="D128" i="17"/>
  <c r="Q268" i="4"/>
  <c r="D234" i="17"/>
  <c r="D220" i="17"/>
  <c r="Q253" i="4"/>
  <c r="D231" i="17"/>
  <c r="Q264" i="4"/>
  <c r="Q254" i="4"/>
  <c r="D226" i="17"/>
  <c r="Q259" i="4"/>
  <c r="Q245" i="4"/>
  <c r="D235" i="17"/>
  <c r="E235" i="17"/>
  <c r="E246" i="4"/>
  <c r="E245" i="4"/>
  <c r="E215" i="17" s="1"/>
  <c r="E251" i="4"/>
  <c r="E219" i="17" s="1"/>
  <c r="D251" i="4"/>
  <c r="E250" i="4"/>
  <c r="E218" i="17" s="1"/>
  <c r="D250" i="4"/>
  <c r="E249" i="4"/>
  <c r="E217" i="17" s="1"/>
  <c r="D249" i="4"/>
  <c r="E247" i="4"/>
  <c r="E216" i="17" s="1"/>
  <c r="D247" i="4"/>
  <c r="E248" i="4"/>
  <c r="D248" i="4"/>
  <c r="Q248" i="4" s="1"/>
  <c r="D246" i="4"/>
  <c r="Q246" i="4" s="1"/>
  <c r="D215" i="17" l="1"/>
  <c r="D216" i="17"/>
  <c r="Q247" i="4"/>
  <c r="D218" i="17"/>
  <c r="Q250" i="4"/>
  <c r="D217" i="17"/>
  <c r="Q249" i="4"/>
  <c r="D219" i="17"/>
  <c r="Q251" i="4"/>
  <c r="Y62" i="1"/>
  <c r="Z62" i="1"/>
  <c r="AA62" i="1"/>
  <c r="AC62" i="1"/>
  <c r="X62" i="1"/>
  <c r="I32" i="18" l="1"/>
  <c r="I24" i="18"/>
  <c r="K24" i="18" l="1"/>
  <c r="C42" i="16" l="1"/>
  <c r="Q13" i="1"/>
  <c r="F32" i="14"/>
  <c r="B32" i="14"/>
  <c r="Q17" i="18"/>
  <c r="Q13" i="18"/>
  <c r="Q17" i="1"/>
  <c r="Y64" i="1" l="1"/>
  <c r="Z64" i="1"/>
  <c r="AA64" i="1"/>
  <c r="AC64" i="1"/>
  <c r="AC60" i="1" s="1"/>
  <c r="Y65" i="1"/>
  <c r="Z65" i="1"/>
  <c r="AA65" i="1"/>
  <c r="AC65" i="1"/>
  <c r="Y66" i="1"/>
  <c r="Z66" i="1"/>
  <c r="AC66" i="1"/>
  <c r="X65" i="1"/>
  <c r="X66" i="1"/>
  <c r="X64" i="1"/>
  <c r="E284" i="17" l="1"/>
  <c r="C283" i="17"/>
  <c r="U29" i="1"/>
  <c r="U30" i="1"/>
  <c r="U31" i="1"/>
  <c r="U32" i="1"/>
  <c r="U33" i="1"/>
  <c r="U34" i="1"/>
  <c r="D251" i="17"/>
  <c r="C251" i="17"/>
  <c r="C46" i="18"/>
  <c r="L40" i="18"/>
  <c r="S39" i="18"/>
  <c r="I39" i="18"/>
  <c r="J39" i="18" s="1"/>
  <c r="A39" i="18"/>
  <c r="S38" i="18"/>
  <c r="I38" i="18"/>
  <c r="J38" i="18" s="1"/>
  <c r="A38" i="18"/>
  <c r="S37" i="18"/>
  <c r="I37" i="18"/>
  <c r="J37" i="18" s="1"/>
  <c r="A37" i="18"/>
  <c r="S36" i="18"/>
  <c r="I36" i="18"/>
  <c r="J36" i="18" s="1"/>
  <c r="A36" i="18"/>
  <c r="S35" i="18"/>
  <c r="D35" i="18"/>
  <c r="I35" i="18" s="1"/>
  <c r="J35" i="18" s="1"/>
  <c r="A35" i="18"/>
  <c r="U34" i="18"/>
  <c r="T34" i="18" s="1"/>
  <c r="I34" i="18" s="1"/>
  <c r="J34" i="18" s="1"/>
  <c r="S34" i="18"/>
  <c r="A34" i="18"/>
  <c r="U33" i="18"/>
  <c r="T33" i="18" s="1"/>
  <c r="I33" i="18" s="1"/>
  <c r="J33" i="18" s="1"/>
  <c r="S33" i="18"/>
  <c r="A33" i="18"/>
  <c r="U32" i="18"/>
  <c r="T32" i="18" s="1"/>
  <c r="J32" i="18" s="1"/>
  <c r="A32" i="18"/>
  <c r="U31" i="18"/>
  <c r="T31" i="18" s="1"/>
  <c r="I31" i="18" s="1"/>
  <c r="J31" i="18" s="1"/>
  <c r="S31" i="18"/>
  <c r="A31" i="18"/>
  <c r="U30" i="18"/>
  <c r="T30" i="18" s="1"/>
  <c r="S30" i="18"/>
  <c r="I30" i="18"/>
  <c r="J30" i="18" s="1"/>
  <c r="A30" i="18"/>
  <c r="U29" i="18"/>
  <c r="T29" i="18" s="1"/>
  <c r="I29" i="18" s="1"/>
  <c r="J29" i="18" s="1"/>
  <c r="S29" i="18"/>
  <c r="A29" i="18"/>
  <c r="S28" i="18"/>
  <c r="K28" i="18"/>
  <c r="J28" i="18"/>
  <c r="I28" i="18"/>
  <c r="A28" i="18"/>
  <c r="S27" i="18"/>
  <c r="K27" i="18"/>
  <c r="J27" i="18"/>
  <c r="I27" i="18"/>
  <c r="A27" i="18"/>
  <c r="S26" i="18"/>
  <c r="K26" i="18"/>
  <c r="J26" i="18"/>
  <c r="I26" i="18"/>
  <c r="A26" i="18"/>
  <c r="S25" i="18"/>
  <c r="K25" i="18"/>
  <c r="I25" i="18"/>
  <c r="A25" i="18"/>
  <c r="I48" i="18"/>
  <c r="A24" i="18"/>
  <c r="S24" i="18" s="1"/>
  <c r="U19" i="18"/>
  <c r="T19" i="18" s="1"/>
  <c r="X19" i="18" s="1"/>
  <c r="S19" i="18"/>
  <c r="U18" i="18"/>
  <c r="T18" i="18" s="1"/>
  <c r="X18" i="18" s="1"/>
  <c r="Q18" i="18"/>
  <c r="U17" i="18"/>
  <c r="T17" i="18" s="1"/>
  <c r="X17" i="18" s="1"/>
  <c r="U16" i="18"/>
  <c r="T16" i="18" s="1"/>
  <c r="U15" i="18"/>
  <c r="T15" i="18" s="1"/>
  <c r="X15" i="18" s="1"/>
  <c r="U14" i="18"/>
  <c r="T14" i="18" s="1"/>
  <c r="X14" i="18" s="1"/>
  <c r="Q14" i="18"/>
  <c r="P15" i="18" s="1"/>
  <c r="Z13" i="18"/>
  <c r="Y13" i="18"/>
  <c r="W13" i="18"/>
  <c r="V13" i="18" s="1"/>
  <c r="U13" i="18"/>
  <c r="T13" i="18" s="1"/>
  <c r="X13" i="18" s="1"/>
  <c r="Z12" i="18"/>
  <c r="Y12" i="18"/>
  <c r="W12" i="18"/>
  <c r="V12" i="18" s="1"/>
  <c r="U12" i="18"/>
  <c r="T12" i="18" s="1"/>
  <c r="X12" i="18" s="1"/>
  <c r="U11" i="18"/>
  <c r="T11" i="18" s="1"/>
  <c r="X11" i="18" s="1"/>
  <c r="U10" i="18"/>
  <c r="T10" i="18" s="1"/>
  <c r="X10" i="18" s="1"/>
  <c r="Z9" i="18"/>
  <c r="Y9" i="18"/>
  <c r="W9" i="18"/>
  <c r="V9" i="18" s="1"/>
  <c r="U9" i="18"/>
  <c r="T9" i="18" s="1"/>
  <c r="X9" i="18" s="1"/>
  <c r="N9" i="18"/>
  <c r="Z8" i="18"/>
  <c r="Y8" i="18"/>
  <c r="W8" i="18"/>
  <c r="V8" i="18" s="1"/>
  <c r="U8" i="18"/>
  <c r="T8" i="18" s="1"/>
  <c r="N8" i="18"/>
  <c r="Z7" i="18"/>
  <c r="Y7" i="18"/>
  <c r="W7" i="18"/>
  <c r="V7" i="18" s="1"/>
  <c r="N7" i="18"/>
  <c r="L1" i="18"/>
  <c r="C132" i="17"/>
  <c r="D132" i="17"/>
  <c r="D133" i="17"/>
  <c r="C131" i="17"/>
  <c r="D213" i="17" s="1"/>
  <c r="C128" i="17"/>
  <c r="Y49" i="1"/>
  <c r="Z49" i="1"/>
  <c r="AA49" i="1"/>
  <c r="X49" i="1"/>
  <c r="T22" i="18" l="1"/>
  <c r="E50" i="18"/>
  <c r="O26" i="18"/>
  <c r="M27" i="18"/>
  <c r="S40" i="18"/>
  <c r="F40" i="18" s="1"/>
  <c r="V14" i="18"/>
  <c r="P19" i="18"/>
  <c r="T26" i="18"/>
  <c r="O28" i="18"/>
  <c r="T27" i="18"/>
  <c r="T28" i="18"/>
  <c r="T25" i="18"/>
  <c r="J25" i="18" s="1"/>
  <c r="O25" i="18" s="1"/>
  <c r="O27" i="18"/>
  <c r="Q8" i="18"/>
  <c r="E47" i="18"/>
  <c r="C47" i="18"/>
  <c r="C44" i="18"/>
  <c r="X8" i="18"/>
  <c r="Q7" i="18"/>
  <c r="X16" i="18"/>
  <c r="R8" i="18" s="1"/>
  <c r="M26" i="18"/>
  <c r="M28" i="18"/>
  <c r="I40" i="18"/>
  <c r="C45" i="18"/>
  <c r="M25" i="18" l="1"/>
  <c r="L14" i="18"/>
  <c r="E46" i="18" s="1"/>
  <c r="V22" i="18"/>
  <c r="C48" i="18"/>
  <c r="Q9" i="18"/>
  <c r="R7" i="18"/>
  <c r="P7" i="18"/>
  <c r="X44" i="18"/>
  <c r="X45" i="18"/>
  <c r="P8" i="18"/>
  <c r="C50" i="18"/>
  <c r="B251" i="17" s="1"/>
  <c r="Q10" i="18" l="1"/>
  <c r="G48" i="18"/>
  <c r="P9" i="18"/>
  <c r="P10" i="18"/>
  <c r="Y60" i="1" l="1"/>
  <c r="Z60" i="1"/>
  <c r="D125" i="17"/>
  <c r="D127" i="17" l="1"/>
  <c r="D126" i="17"/>
  <c r="Y61" i="1"/>
  <c r="I24" i="1" l="1"/>
  <c r="T26" i="1" l="1"/>
  <c r="T27" i="1"/>
  <c r="T28" i="1"/>
  <c r="T25" i="1"/>
  <c r="I18" i="14" l="1"/>
  <c r="I16" i="14"/>
  <c r="I14" i="14"/>
  <c r="I12" i="14"/>
  <c r="I10" i="14"/>
  <c r="H18" i="14" l="1"/>
  <c r="I17" i="14" s="1"/>
  <c r="H16" i="14"/>
  <c r="I15" i="14" s="1"/>
  <c r="H14" i="14"/>
  <c r="I13" i="14" s="1"/>
  <c r="H12" i="14"/>
  <c r="I11" i="14" s="1"/>
  <c r="H10" i="14"/>
  <c r="I9" i="14" s="1"/>
  <c r="I32" i="14" l="1"/>
  <c r="L19" i="18" s="1"/>
  <c r="J24" i="18"/>
  <c r="C133" i="17"/>
  <c r="T24" i="1" l="1"/>
  <c r="J24" i="1" s="1"/>
  <c r="U24" i="1"/>
  <c r="V24" i="1" s="1"/>
  <c r="T23" i="1"/>
  <c r="J23" i="18"/>
  <c r="W24" i="18"/>
  <c r="O24" i="18"/>
  <c r="J40" i="18"/>
  <c r="L19" i="1"/>
  <c r="B285" i="17"/>
  <c r="C319" i="17"/>
  <c r="C32" i="18" s="1"/>
  <c r="B295" i="17"/>
  <c r="B296" i="17"/>
  <c r="B297" i="17"/>
  <c r="B298" i="17"/>
  <c r="B294" i="17"/>
  <c r="A294" i="17"/>
  <c r="B288" i="17"/>
  <c r="B289" i="17"/>
  <c r="B290" i="17"/>
  <c r="B291" i="17"/>
  <c r="B287" i="17"/>
  <c r="A288" i="17"/>
  <c r="A289" i="17"/>
  <c r="A290" i="17"/>
  <c r="A291" i="17"/>
  <c r="A287" i="17"/>
  <c r="D285" i="17"/>
  <c r="B281" i="17"/>
  <c r="U42" i="18" s="1"/>
  <c r="B280" i="17"/>
  <c r="T42" i="18" s="1"/>
  <c r="C278" i="17"/>
  <c r="B278" i="17"/>
  <c r="C276" i="17"/>
  <c r="C272" i="17"/>
  <c r="B273" i="17"/>
  <c r="B274" i="17"/>
  <c r="B275" i="17"/>
  <c r="B276" i="17"/>
  <c r="B272" i="17"/>
  <c r="A273" i="17"/>
  <c r="A274" i="17"/>
  <c r="A275" i="17"/>
  <c r="A272" i="17"/>
  <c r="A254" i="17"/>
  <c r="W24" i="1" l="1"/>
  <c r="J23" i="1"/>
  <c r="T23" i="18"/>
  <c r="Z45" i="18"/>
  <c r="Z44" i="18"/>
  <c r="G51" i="18"/>
  <c r="C40" i="18"/>
  <c r="C51" i="18" s="1"/>
  <c r="E51" i="18" s="1"/>
  <c r="U44" i="18"/>
  <c r="U45" i="18"/>
  <c r="U24" i="18"/>
  <c r="V24" i="18" s="1"/>
  <c r="M24" i="18" s="1"/>
  <c r="G251" i="17"/>
  <c r="C28" i="16"/>
  <c r="AA44" i="18" l="1"/>
  <c r="AB44" i="18" s="1"/>
  <c r="AC44" i="18" s="1"/>
  <c r="AA45" i="18"/>
  <c r="AB45" i="18" s="1"/>
  <c r="C21" i="16"/>
  <c r="C25" i="16"/>
  <c r="C26" i="16"/>
  <c r="C43" i="16"/>
  <c r="AC45" i="18" l="1"/>
  <c r="AD45" i="18" s="1"/>
  <c r="Y45" i="18" s="1"/>
  <c r="V45" i="18" s="1"/>
  <c r="T45" i="18" s="1"/>
  <c r="D45" i="18" s="1"/>
  <c r="E45" i="18" s="1"/>
  <c r="AD44" i="18"/>
  <c r="Y44" i="18" s="1"/>
  <c r="C22" i="16"/>
  <c r="D1" i="16"/>
  <c r="Y43" i="18" l="1"/>
  <c r="V44" i="18"/>
  <c r="C29" i="16"/>
  <c r="C34" i="16" l="1"/>
  <c r="C45" i="16" s="1"/>
  <c r="C30" i="16"/>
  <c r="X60" i="1"/>
  <c r="O24" i="1" l="1"/>
  <c r="M24" i="1"/>
  <c r="AC61" i="1"/>
  <c r="S19" i="1"/>
  <c r="A24" i="1" l="1"/>
  <c r="S24" i="1" s="1"/>
  <c r="S25" i="1"/>
  <c r="S27" i="1"/>
  <c r="S28" i="1"/>
  <c r="S29" i="1"/>
  <c r="S30" i="1"/>
  <c r="S31" i="1"/>
  <c r="S33" i="1"/>
  <c r="S34" i="1"/>
  <c r="A26" i="1" l="1"/>
  <c r="S26" i="1" s="1"/>
  <c r="A27" i="1"/>
  <c r="A28" i="1"/>
  <c r="A29" i="1"/>
  <c r="A30" i="1"/>
  <c r="A31" i="1"/>
  <c r="A32" i="1"/>
  <c r="A33" i="1"/>
  <c r="A34" i="1"/>
  <c r="A35" i="1"/>
  <c r="S35" i="1" s="1"/>
  <c r="A36" i="1"/>
  <c r="S36" i="1" s="1"/>
  <c r="A37" i="1"/>
  <c r="S37" i="1" s="1"/>
  <c r="A38" i="1"/>
  <c r="S38" i="1" s="1"/>
  <c r="A39" i="1"/>
  <c r="S39" i="1" s="1"/>
  <c r="A25" i="1"/>
  <c r="S40" i="1" l="1"/>
  <c r="E50" i="1"/>
  <c r="I37" i="1"/>
  <c r="J37" i="1" s="1"/>
  <c r="D35" i="1"/>
  <c r="Y13" i="1" l="1"/>
  <c r="Y12" i="1"/>
  <c r="Z8" i="1"/>
  <c r="Z7" i="1"/>
  <c r="Y9" i="1"/>
  <c r="N8" i="1"/>
  <c r="N9" i="1"/>
  <c r="N7" i="1"/>
  <c r="Q18" i="1"/>
  <c r="P19" i="1" l="1"/>
  <c r="Q14" i="1"/>
  <c r="P15" i="1" s="1"/>
  <c r="L40" i="1" l="1"/>
  <c r="T34" i="1"/>
  <c r="V50" i="1"/>
  <c r="U50" i="1"/>
  <c r="C46" i="1"/>
  <c r="U42" i="1"/>
  <c r="T42" i="1"/>
  <c r="I39" i="1"/>
  <c r="J39" i="1" s="1"/>
  <c r="I38" i="1"/>
  <c r="J38" i="1" s="1"/>
  <c r="I36" i="1"/>
  <c r="J36" i="1" s="1"/>
  <c r="I35" i="1"/>
  <c r="J35" i="1" s="1"/>
  <c r="T33" i="1"/>
  <c r="T32" i="1"/>
  <c r="I32" i="1" s="1"/>
  <c r="J32" i="1" s="1"/>
  <c r="C32" i="1"/>
  <c r="T31" i="1"/>
  <c r="I31" i="1" s="1"/>
  <c r="J31" i="1" s="1"/>
  <c r="T30" i="1"/>
  <c r="I30" i="1" s="1"/>
  <c r="J30" i="1" s="1"/>
  <c r="T29" i="1"/>
  <c r="I29" i="1" s="1"/>
  <c r="J29" i="1" s="1"/>
  <c r="K28" i="1"/>
  <c r="J28" i="1"/>
  <c r="I28" i="1"/>
  <c r="K27" i="1"/>
  <c r="J27" i="1"/>
  <c r="J26" i="1"/>
  <c r="K26" i="1"/>
  <c r="I26" i="1"/>
  <c r="K24" i="1"/>
  <c r="I48" i="1" s="1"/>
  <c r="U19" i="1"/>
  <c r="T19" i="1" s="1"/>
  <c r="X19" i="1" s="1"/>
  <c r="U18" i="1"/>
  <c r="T18" i="1" s="1"/>
  <c r="X18" i="1" s="1"/>
  <c r="U17" i="1"/>
  <c r="T17" i="1" s="1"/>
  <c r="X17" i="1" s="1"/>
  <c r="U16" i="1"/>
  <c r="T16" i="1" s="1"/>
  <c r="X16" i="1" s="1"/>
  <c r="U15" i="1"/>
  <c r="T15" i="1" s="1"/>
  <c r="X15" i="1" s="1"/>
  <c r="U14" i="1"/>
  <c r="T14" i="1" s="1"/>
  <c r="W13" i="1"/>
  <c r="V13" i="1" s="1"/>
  <c r="Z13" i="1" s="1"/>
  <c r="U13" i="1"/>
  <c r="T13" i="1" s="1"/>
  <c r="X13" i="1" s="1"/>
  <c r="W12" i="1"/>
  <c r="V12" i="1" s="1"/>
  <c r="V14" i="1" s="1"/>
  <c r="U12" i="1"/>
  <c r="T12" i="1" s="1"/>
  <c r="X12" i="1" s="1"/>
  <c r="U11" i="1"/>
  <c r="T11" i="1" s="1"/>
  <c r="X11" i="1" s="1"/>
  <c r="U10" i="1"/>
  <c r="T10" i="1" s="1"/>
  <c r="X10" i="1" s="1"/>
  <c r="W9" i="1"/>
  <c r="V9" i="1" s="1"/>
  <c r="Z9" i="1" s="1"/>
  <c r="U9" i="1"/>
  <c r="T9" i="1" s="1"/>
  <c r="X9" i="1" s="1"/>
  <c r="W8" i="1"/>
  <c r="V8" i="1" s="1"/>
  <c r="Y8" i="1" s="1"/>
  <c r="U8" i="1"/>
  <c r="T8" i="1" s="1"/>
  <c r="W7" i="1"/>
  <c r="V7" i="1" s="1"/>
  <c r="L1" i="1"/>
  <c r="AB50" i="1" l="1"/>
  <c r="AB51" i="1" s="1"/>
  <c r="AB53" i="1" s="1"/>
  <c r="AC50" i="1"/>
  <c r="AC51" i="1" s="1"/>
  <c r="AC53" i="1" s="1"/>
  <c r="AA60" i="1"/>
  <c r="AB60" i="1"/>
  <c r="I33" i="1"/>
  <c r="J33" i="1" s="1"/>
  <c r="I34" i="1"/>
  <c r="J34" i="1" s="1"/>
  <c r="V22" i="1"/>
  <c r="T22" i="1"/>
  <c r="O27" i="1"/>
  <c r="O28" i="1"/>
  <c r="O26" i="1"/>
  <c r="AA50" i="1"/>
  <c r="AA51" i="1" s="1"/>
  <c r="AA53" i="1" s="1"/>
  <c r="Z12" i="1"/>
  <c r="G51" i="1"/>
  <c r="C40" i="1"/>
  <c r="C51" i="1" s="1"/>
  <c r="Q7" i="1"/>
  <c r="X8" i="1"/>
  <c r="C47" i="1"/>
  <c r="Y7" i="1"/>
  <c r="X14" i="1"/>
  <c r="P8" i="1" s="1"/>
  <c r="Q8" i="1"/>
  <c r="J25" i="1"/>
  <c r="M27" i="1"/>
  <c r="M28" i="1"/>
  <c r="C45" i="1"/>
  <c r="L14" i="21" s="1"/>
  <c r="I25" i="1"/>
  <c r="I40" i="1" s="1"/>
  <c r="L14" i="1"/>
  <c r="E46" i="1" s="1"/>
  <c r="K25" i="1"/>
  <c r="Y50" i="1"/>
  <c r="Y51" i="1" s="1"/>
  <c r="Y53" i="1" s="1"/>
  <c r="X50" i="1"/>
  <c r="X51" i="1" s="1"/>
  <c r="X53" i="1" s="1"/>
  <c r="M26" i="1"/>
  <c r="C44" i="1"/>
  <c r="L6" i="21" s="1"/>
  <c r="E47" i="1"/>
  <c r="Z50" i="1"/>
  <c r="Z51" i="1" s="1"/>
  <c r="Z53" i="1" s="1"/>
  <c r="L16" i="21" l="1"/>
  <c r="L18" i="21" s="1"/>
  <c r="L8" i="21"/>
  <c r="L10" i="21" s="1"/>
  <c r="X45" i="1"/>
  <c r="U45" i="1" s="1"/>
  <c r="O25" i="1"/>
  <c r="C50" i="1"/>
  <c r="Q9" i="1"/>
  <c r="P7" i="1"/>
  <c r="P9" i="1" s="1"/>
  <c r="R7" i="1"/>
  <c r="M25" i="1"/>
  <c r="R8" i="1"/>
  <c r="C48" i="1"/>
  <c r="X44" i="1"/>
  <c r="U44" i="1" s="1"/>
  <c r="E317" i="4"/>
  <c r="C316" i="4"/>
  <c r="A298" i="17" l="1"/>
  <c r="A297" i="17"/>
  <c r="M44" i="1"/>
  <c r="M45" i="1"/>
  <c r="A296" i="17"/>
  <c r="A295" i="17"/>
  <c r="Z45" i="1"/>
  <c r="AA45" i="1" s="1"/>
  <c r="Q10" i="1"/>
  <c r="P10" i="1"/>
  <c r="G48" i="1"/>
  <c r="Z44" i="1"/>
  <c r="E51" i="1" l="1"/>
  <c r="B284" i="4"/>
  <c r="C285" i="17"/>
  <c r="E285" i="17" s="1"/>
  <c r="F285" i="17" s="1"/>
  <c r="D283" i="17" s="1"/>
  <c r="W44" i="18" s="1"/>
  <c r="AB45" i="1"/>
  <c r="AC45" i="1" s="1"/>
  <c r="AA44" i="1"/>
  <c r="AB44" i="1" s="1"/>
  <c r="C3" i="14"/>
  <c r="B3" i="14"/>
  <c r="E1" i="14"/>
  <c r="D6" i="13"/>
  <c r="E6" i="13"/>
  <c r="E9" i="13" s="1"/>
  <c r="F6" i="13"/>
  <c r="F9" i="13" s="1"/>
  <c r="G6" i="13"/>
  <c r="G9" i="13" s="1"/>
  <c r="H6" i="13"/>
  <c r="H9" i="13" s="1"/>
  <c r="I6" i="13"/>
  <c r="I9" i="13" s="1"/>
  <c r="J6" i="13"/>
  <c r="J9" i="13" s="1"/>
  <c r="K6" i="13"/>
  <c r="K9" i="13" s="1"/>
  <c r="L6" i="13"/>
  <c r="L9" i="13" s="1"/>
  <c r="M6" i="13"/>
  <c r="M9" i="13" s="1"/>
  <c r="N6" i="13"/>
  <c r="N9" i="13" s="1"/>
  <c r="O6" i="13"/>
  <c r="O9" i="13" s="1"/>
  <c r="P6" i="13"/>
  <c r="P9" i="13" s="1"/>
  <c r="Q6" i="13"/>
  <c r="Q9" i="13" s="1"/>
  <c r="D7" i="13"/>
  <c r="E7" i="13"/>
  <c r="F7" i="13"/>
  <c r="G7" i="13"/>
  <c r="H7" i="13"/>
  <c r="I7" i="13"/>
  <c r="J7" i="13"/>
  <c r="K7" i="13"/>
  <c r="L7" i="13"/>
  <c r="M7" i="13"/>
  <c r="N7" i="13"/>
  <c r="O7" i="13"/>
  <c r="P7" i="13"/>
  <c r="Q7" i="13"/>
  <c r="E8" i="13"/>
  <c r="F8" i="13"/>
  <c r="G8" i="13"/>
  <c r="H8" i="13"/>
  <c r="I8" i="13"/>
  <c r="J8" i="13"/>
  <c r="K8" i="13"/>
  <c r="L8" i="13"/>
  <c r="M8" i="13"/>
  <c r="N8" i="13"/>
  <c r="O8" i="13"/>
  <c r="P8" i="13"/>
  <c r="Q8" i="13"/>
  <c r="D9" i="13"/>
  <c r="AC57" i="1" l="1"/>
  <c r="AB57" i="1"/>
  <c r="Z57" i="1"/>
  <c r="AA57" i="1"/>
  <c r="X57" i="1"/>
  <c r="Y57" i="1"/>
  <c r="AD45" i="1"/>
  <c r="Y45" i="1" s="1"/>
  <c r="V45" i="1" s="1"/>
  <c r="T45" i="1" s="1"/>
  <c r="D45" i="1" s="1"/>
  <c r="E45" i="1" s="1"/>
  <c r="AC44" i="1"/>
  <c r="AD44" i="1" s="1"/>
  <c r="E18" i="14"/>
  <c r="E16" i="14"/>
  <c r="E14" i="14"/>
  <c r="E12" i="14"/>
  <c r="E10" i="14"/>
  <c r="D10" i="13"/>
  <c r="A300" i="4"/>
  <c r="A267" i="17" s="1"/>
  <c r="A299" i="4"/>
  <c r="A266" i="17" s="1"/>
  <c r="A298" i="4"/>
  <c r="A265" i="17" s="1"/>
  <c r="A297" i="4"/>
  <c r="A264" i="17" s="1"/>
  <c r="A296" i="4"/>
  <c r="A263" i="17" s="1"/>
  <c r="A295" i="4"/>
  <c r="A262" i="17" s="1"/>
  <c r="A294" i="4"/>
  <c r="A261" i="17" s="1"/>
  <c r="A293" i="4"/>
  <c r="A292" i="4"/>
  <c r="A259" i="17" s="1"/>
  <c r="A291" i="4"/>
  <c r="A258" i="17" s="1"/>
  <c r="A290" i="4"/>
  <c r="A257" i="17" s="1"/>
  <c r="A289" i="4"/>
  <c r="A256" i="17" s="1"/>
  <c r="A288" i="4"/>
  <c r="A255" i="17" s="1"/>
  <c r="D18" i="14" l="1"/>
  <c r="E17" i="14" s="1"/>
  <c r="D16" i="14"/>
  <c r="E15" i="14" s="1"/>
  <c r="D14" i="14"/>
  <c r="E13" i="14" s="1"/>
  <c r="D12" i="14"/>
  <c r="E11" i="14" s="1"/>
  <c r="D10" i="14"/>
  <c r="E9" i="14" s="1"/>
  <c r="A260" i="17"/>
  <c r="E251" i="17" s="1"/>
  <c r="F251" i="17" s="1"/>
  <c r="E284" i="4"/>
  <c r="Y44" i="1"/>
  <c r="V44" i="1" l="1"/>
  <c r="Y43" i="1"/>
  <c r="E127" i="17" l="1"/>
  <c r="F127" i="17" l="1"/>
  <c r="F126" i="17"/>
  <c r="Z61" i="1"/>
  <c r="AA61" i="1"/>
  <c r="C244" i="13"/>
  <c r="C245" i="13"/>
  <c r="C246" i="13"/>
  <c r="C236" i="13"/>
  <c r="C237" i="13"/>
  <c r="C238" i="13"/>
  <c r="C227" i="13"/>
  <c r="C228" i="13"/>
  <c r="C229" i="13"/>
  <c r="C219" i="13"/>
  <c r="C220" i="13"/>
  <c r="C221" i="13"/>
  <c r="C210" i="13"/>
  <c r="C211" i="13"/>
  <c r="C212" i="13"/>
  <c r="C202" i="13"/>
  <c r="C203" i="13"/>
  <c r="C204" i="13"/>
  <c r="C195" i="13"/>
  <c r="C193" i="13"/>
  <c r="C194" i="13"/>
  <c r="C185" i="13"/>
  <c r="C186" i="13"/>
  <c r="C187" i="13"/>
  <c r="C176" i="13"/>
  <c r="C177" i="13"/>
  <c r="C178" i="13"/>
  <c r="C168" i="13"/>
  <c r="C169" i="13"/>
  <c r="C170" i="13"/>
  <c r="C159" i="13"/>
  <c r="C160" i="13"/>
  <c r="C161" i="13"/>
  <c r="C151" i="13"/>
  <c r="C152" i="13"/>
  <c r="C153" i="13"/>
  <c r="C144" i="13"/>
  <c r="C142" i="13"/>
  <c r="C143" i="13"/>
  <c r="C134" i="13"/>
  <c r="C135" i="13"/>
  <c r="C136" i="13"/>
  <c r="C125" i="13"/>
  <c r="C126" i="13"/>
  <c r="C127" i="13"/>
  <c r="C117" i="13"/>
  <c r="C118" i="13"/>
  <c r="C119" i="13"/>
  <c r="C108" i="13"/>
  <c r="C109" i="13"/>
  <c r="C110" i="13"/>
  <c r="C100" i="13"/>
  <c r="C101" i="13"/>
  <c r="C102" i="13"/>
  <c r="C91" i="13"/>
  <c r="C92" i="13"/>
  <c r="C93" i="13"/>
  <c r="C83" i="13"/>
  <c r="C84" i="13"/>
  <c r="C85" i="13"/>
  <c r="C74" i="13"/>
  <c r="C75" i="13"/>
  <c r="C76" i="13"/>
  <c r="C66" i="13"/>
  <c r="C67" i="13"/>
  <c r="C68" i="13"/>
  <c r="C57" i="13"/>
  <c r="C58" i="13"/>
  <c r="C59" i="13"/>
  <c r="C51" i="13"/>
  <c r="C48" i="13"/>
  <c r="C49" i="13"/>
  <c r="C50" i="13"/>
  <c r="C39" i="13"/>
  <c r="C40" i="13"/>
  <c r="C41" i="13"/>
  <c r="C31" i="13"/>
  <c r="C32" i="13"/>
  <c r="C33" i="13"/>
  <c r="C22" i="13"/>
  <c r="C23" i="13"/>
  <c r="C24" i="13"/>
  <c r="C14" i="13"/>
  <c r="C15" i="13"/>
  <c r="C16" i="13"/>
  <c r="C233" i="13"/>
  <c r="C234" i="13"/>
  <c r="C235" i="13"/>
  <c r="C240" i="13"/>
  <c r="C241" i="13"/>
  <c r="C242" i="13"/>
  <c r="C243" i="13"/>
  <c r="C232" i="13"/>
  <c r="C216" i="13"/>
  <c r="C217" i="13"/>
  <c r="C218" i="13"/>
  <c r="C223" i="13"/>
  <c r="C224" i="13"/>
  <c r="C225" i="13"/>
  <c r="C226" i="13"/>
  <c r="C215" i="13"/>
  <c r="C199" i="13"/>
  <c r="C200" i="13"/>
  <c r="C201" i="13"/>
  <c r="C206" i="13"/>
  <c r="C207" i="13"/>
  <c r="C208" i="13"/>
  <c r="C209" i="13"/>
  <c r="C198" i="13"/>
  <c r="C182" i="13"/>
  <c r="C183" i="13"/>
  <c r="C184" i="13"/>
  <c r="C189" i="13"/>
  <c r="C190" i="13"/>
  <c r="C191" i="13"/>
  <c r="C192" i="13"/>
  <c r="C181" i="13"/>
  <c r="C165" i="13"/>
  <c r="C166" i="13"/>
  <c r="C167" i="13"/>
  <c r="C172" i="13"/>
  <c r="C173" i="13"/>
  <c r="C174" i="13"/>
  <c r="C175" i="13"/>
  <c r="C164" i="13"/>
  <c r="C148" i="13"/>
  <c r="C149" i="13"/>
  <c r="C150" i="13"/>
  <c r="C155" i="13"/>
  <c r="C156" i="13"/>
  <c r="C157" i="13"/>
  <c r="C158" i="13"/>
  <c r="C147" i="13"/>
  <c r="C131" i="13"/>
  <c r="C132" i="13"/>
  <c r="C133" i="13"/>
  <c r="C138" i="13"/>
  <c r="C139" i="13"/>
  <c r="C140" i="13"/>
  <c r="C141" i="13"/>
  <c r="C130" i="13"/>
  <c r="C114" i="13"/>
  <c r="C115" i="13"/>
  <c r="C116" i="13"/>
  <c r="C121" i="13"/>
  <c r="C122" i="13"/>
  <c r="C123" i="13"/>
  <c r="C124" i="13"/>
  <c r="C113" i="13"/>
  <c r="C97" i="13"/>
  <c r="C98" i="13"/>
  <c r="C99" i="13"/>
  <c r="C104" i="13"/>
  <c r="C105" i="13"/>
  <c r="C106" i="13"/>
  <c r="C107" i="13"/>
  <c r="C96" i="13"/>
  <c r="C80" i="13"/>
  <c r="C81" i="13"/>
  <c r="C82" i="13"/>
  <c r="C87" i="13"/>
  <c r="C88" i="13"/>
  <c r="C89" i="13"/>
  <c r="C90" i="13"/>
  <c r="C79" i="13"/>
  <c r="C63" i="13"/>
  <c r="C64" i="13"/>
  <c r="C65" i="13"/>
  <c r="C70" i="13"/>
  <c r="C71" i="13"/>
  <c r="C72" i="13"/>
  <c r="C73" i="13"/>
  <c r="C62" i="13"/>
  <c r="C46" i="13"/>
  <c r="C47" i="13"/>
  <c r="C53" i="13"/>
  <c r="C54" i="13"/>
  <c r="C55" i="13"/>
  <c r="C56" i="13"/>
  <c r="C45" i="13"/>
  <c r="C28" i="13"/>
  <c r="C29" i="13"/>
  <c r="C30" i="13"/>
  <c r="C35" i="13"/>
  <c r="C36" i="13"/>
  <c r="C37" i="13"/>
  <c r="C38" i="13"/>
  <c r="C27" i="13"/>
  <c r="E11" i="13"/>
  <c r="D11" i="13" s="1"/>
  <c r="F11" i="13"/>
  <c r="G11" i="13"/>
  <c r="H11" i="13"/>
  <c r="I11" i="13"/>
  <c r="J11" i="13"/>
  <c r="K11" i="13"/>
  <c r="L11" i="13"/>
  <c r="M11" i="13"/>
  <c r="N11" i="13"/>
  <c r="O11" i="13"/>
  <c r="P11" i="13"/>
  <c r="Q11" i="13"/>
  <c r="E12" i="13"/>
  <c r="D12" i="13" s="1"/>
  <c r="F12" i="13"/>
  <c r="G12" i="13"/>
  <c r="H12" i="13"/>
  <c r="I12" i="13"/>
  <c r="J12" i="13"/>
  <c r="K12" i="13"/>
  <c r="L12" i="13"/>
  <c r="M12" i="13"/>
  <c r="N12" i="13"/>
  <c r="O12" i="13"/>
  <c r="P12" i="13"/>
  <c r="Q12" i="13"/>
  <c r="F13" i="13"/>
  <c r="G13" i="13"/>
  <c r="G14" i="13" s="1"/>
  <c r="G15" i="13" s="1"/>
  <c r="G16" i="13" s="1"/>
  <c r="H13" i="13"/>
  <c r="H14" i="13" s="1"/>
  <c r="H15" i="13" s="1"/>
  <c r="H16" i="13" s="1"/>
  <c r="I13" i="13"/>
  <c r="I14" i="13" s="1"/>
  <c r="I15" i="13" s="1"/>
  <c r="I16" i="13" s="1"/>
  <c r="J13" i="13"/>
  <c r="J14" i="13" s="1"/>
  <c r="J15" i="13" s="1"/>
  <c r="J16" i="13" s="1"/>
  <c r="K13" i="13"/>
  <c r="K14" i="13" s="1"/>
  <c r="K15" i="13" s="1"/>
  <c r="K16" i="13" s="1"/>
  <c r="L13" i="13"/>
  <c r="L14" i="13" s="1"/>
  <c r="L15" i="13" s="1"/>
  <c r="L16" i="13" s="1"/>
  <c r="M13" i="13"/>
  <c r="M14" i="13" s="1"/>
  <c r="M15" i="13" s="1"/>
  <c r="M16" i="13" s="1"/>
  <c r="N13" i="13"/>
  <c r="N14" i="13" s="1"/>
  <c r="N15" i="13" s="1"/>
  <c r="N16" i="13" s="1"/>
  <c r="O13" i="13"/>
  <c r="O14" i="13" s="1"/>
  <c r="O15" i="13" s="1"/>
  <c r="O16" i="13" s="1"/>
  <c r="P13" i="13"/>
  <c r="P14" i="13" s="1"/>
  <c r="P15" i="13" s="1"/>
  <c r="P16" i="13" s="1"/>
  <c r="Q13" i="13"/>
  <c r="Q14" i="13" s="1"/>
  <c r="Q15" i="13" s="1"/>
  <c r="Q16" i="13" s="1"/>
  <c r="D18" i="13"/>
  <c r="E18" i="13"/>
  <c r="F18" i="13"/>
  <c r="G18" i="13"/>
  <c r="H18" i="13"/>
  <c r="I18" i="13"/>
  <c r="J18" i="13"/>
  <c r="K18" i="13"/>
  <c r="L18" i="13"/>
  <c r="M18" i="13"/>
  <c r="N18" i="13"/>
  <c r="O18" i="13"/>
  <c r="P18" i="13"/>
  <c r="Q18" i="13"/>
  <c r="D19" i="13"/>
  <c r="E19" i="13"/>
  <c r="F19" i="13"/>
  <c r="G19" i="13"/>
  <c r="H19" i="13"/>
  <c r="I19" i="13"/>
  <c r="J19" i="13"/>
  <c r="K19" i="13"/>
  <c r="L19" i="13"/>
  <c r="M19" i="13"/>
  <c r="N19" i="13"/>
  <c r="O19" i="13"/>
  <c r="P19" i="13"/>
  <c r="Q19" i="13"/>
  <c r="D20" i="13"/>
  <c r="E20" i="13"/>
  <c r="F20" i="13"/>
  <c r="G20" i="13"/>
  <c r="H20" i="13"/>
  <c r="I20" i="13"/>
  <c r="J20" i="13"/>
  <c r="K20" i="13"/>
  <c r="L20" i="13"/>
  <c r="M20" i="13"/>
  <c r="N20" i="13"/>
  <c r="O20" i="13"/>
  <c r="P20" i="13"/>
  <c r="Q20" i="13"/>
  <c r="E21" i="13"/>
  <c r="F21" i="13"/>
  <c r="F22" i="13" s="1"/>
  <c r="F23" i="13" s="1"/>
  <c r="F24" i="13" s="1"/>
  <c r="G21" i="13"/>
  <c r="G22" i="13" s="1"/>
  <c r="G23" i="13" s="1"/>
  <c r="G24" i="13" s="1"/>
  <c r="H21" i="13"/>
  <c r="H22" i="13" s="1"/>
  <c r="H23" i="13" s="1"/>
  <c r="H24" i="13" s="1"/>
  <c r="I21" i="13"/>
  <c r="I22" i="13" s="1"/>
  <c r="I23" i="13" s="1"/>
  <c r="I24" i="13" s="1"/>
  <c r="J21" i="13"/>
  <c r="J22" i="13" s="1"/>
  <c r="J23" i="13" s="1"/>
  <c r="J24" i="13" s="1"/>
  <c r="K21" i="13"/>
  <c r="K22" i="13" s="1"/>
  <c r="K23" i="13" s="1"/>
  <c r="K24" i="13" s="1"/>
  <c r="L21" i="13"/>
  <c r="L22" i="13" s="1"/>
  <c r="L23" i="13" s="1"/>
  <c r="L24" i="13" s="1"/>
  <c r="M21" i="13"/>
  <c r="M22" i="13" s="1"/>
  <c r="M23" i="13" s="1"/>
  <c r="M24" i="13" s="1"/>
  <c r="N21" i="13"/>
  <c r="N22" i="13" s="1"/>
  <c r="N23" i="13" s="1"/>
  <c r="N24" i="13" s="1"/>
  <c r="O21" i="13"/>
  <c r="O22" i="13" s="1"/>
  <c r="O23" i="13" s="1"/>
  <c r="O24" i="13" s="1"/>
  <c r="P21" i="13"/>
  <c r="P22" i="13" s="1"/>
  <c r="P23" i="13" s="1"/>
  <c r="P24" i="13" s="1"/>
  <c r="Q21" i="13"/>
  <c r="Q22" i="13" s="1"/>
  <c r="Q23" i="13" s="1"/>
  <c r="Q24" i="13" s="1"/>
  <c r="D27" i="13"/>
  <c r="E27" i="13"/>
  <c r="F27" i="13"/>
  <c r="G27" i="13"/>
  <c r="H27" i="13"/>
  <c r="I27" i="13"/>
  <c r="J27" i="13"/>
  <c r="K27" i="13"/>
  <c r="L27" i="13"/>
  <c r="M27" i="13"/>
  <c r="N27" i="13"/>
  <c r="O27" i="13"/>
  <c r="P27" i="13"/>
  <c r="Q27" i="13"/>
  <c r="E28" i="13"/>
  <c r="D28" i="13" s="1"/>
  <c r="F28" i="13"/>
  <c r="G28" i="13"/>
  <c r="H28" i="13"/>
  <c r="I28" i="13"/>
  <c r="J28" i="13"/>
  <c r="K28" i="13"/>
  <c r="L28" i="13"/>
  <c r="M28" i="13"/>
  <c r="N28" i="13"/>
  <c r="O28" i="13"/>
  <c r="P28" i="13"/>
  <c r="Q28" i="13"/>
  <c r="E29" i="13"/>
  <c r="D29" i="13" s="1"/>
  <c r="F29" i="13"/>
  <c r="G29" i="13"/>
  <c r="H29" i="13"/>
  <c r="I29" i="13"/>
  <c r="J29" i="13"/>
  <c r="K29" i="13"/>
  <c r="L29" i="13"/>
  <c r="M29" i="13"/>
  <c r="N29" i="13"/>
  <c r="O29" i="13"/>
  <c r="P29" i="13"/>
  <c r="Q29" i="13"/>
  <c r="F30" i="13"/>
  <c r="G30" i="13"/>
  <c r="G31" i="13" s="1"/>
  <c r="G32" i="13" s="1"/>
  <c r="G33" i="13" s="1"/>
  <c r="H30" i="13"/>
  <c r="H31" i="13" s="1"/>
  <c r="H32" i="13" s="1"/>
  <c r="H33" i="13" s="1"/>
  <c r="I30" i="13"/>
  <c r="I31" i="13" s="1"/>
  <c r="I32" i="13" s="1"/>
  <c r="I33" i="13" s="1"/>
  <c r="J30" i="13"/>
  <c r="J31" i="13" s="1"/>
  <c r="J32" i="13" s="1"/>
  <c r="J33" i="13" s="1"/>
  <c r="K30" i="13"/>
  <c r="K31" i="13" s="1"/>
  <c r="K32" i="13" s="1"/>
  <c r="K33" i="13" s="1"/>
  <c r="L30" i="13"/>
  <c r="L31" i="13" s="1"/>
  <c r="L32" i="13" s="1"/>
  <c r="L33" i="13" s="1"/>
  <c r="M30" i="13"/>
  <c r="M31" i="13" s="1"/>
  <c r="M32" i="13" s="1"/>
  <c r="M33" i="13" s="1"/>
  <c r="N30" i="13"/>
  <c r="N31" i="13" s="1"/>
  <c r="N32" i="13" s="1"/>
  <c r="N33" i="13" s="1"/>
  <c r="O30" i="13"/>
  <c r="O31" i="13" s="1"/>
  <c r="O32" i="13" s="1"/>
  <c r="O33" i="13" s="1"/>
  <c r="P30" i="13"/>
  <c r="P31" i="13" s="1"/>
  <c r="P32" i="13" s="1"/>
  <c r="P33" i="13" s="1"/>
  <c r="Q30" i="13"/>
  <c r="Q31" i="13" s="1"/>
  <c r="Q32" i="13" s="1"/>
  <c r="Q33" i="13" s="1"/>
  <c r="D35" i="13"/>
  <c r="E35" i="13"/>
  <c r="F35" i="13"/>
  <c r="G35" i="13"/>
  <c r="H35" i="13"/>
  <c r="I35" i="13"/>
  <c r="J35" i="13"/>
  <c r="K35" i="13"/>
  <c r="L35" i="13"/>
  <c r="M35" i="13"/>
  <c r="N35" i="13"/>
  <c r="O35" i="13"/>
  <c r="P35" i="13"/>
  <c r="Q35" i="13"/>
  <c r="D36" i="13"/>
  <c r="E36" i="13"/>
  <c r="F36" i="13"/>
  <c r="G36" i="13"/>
  <c r="H36" i="13"/>
  <c r="I36" i="13"/>
  <c r="J36" i="13"/>
  <c r="K36" i="13"/>
  <c r="L36" i="13"/>
  <c r="M36" i="13"/>
  <c r="N36" i="13"/>
  <c r="O36" i="13"/>
  <c r="P36" i="13"/>
  <c r="Q36" i="13"/>
  <c r="D37" i="13"/>
  <c r="E37" i="13"/>
  <c r="F37" i="13"/>
  <c r="G37" i="13"/>
  <c r="H37" i="13"/>
  <c r="I37" i="13"/>
  <c r="J37" i="13"/>
  <c r="K37" i="13"/>
  <c r="L37" i="13"/>
  <c r="M37" i="13"/>
  <c r="N37" i="13"/>
  <c r="O37" i="13"/>
  <c r="P37" i="13"/>
  <c r="Q37" i="13"/>
  <c r="E38" i="13"/>
  <c r="F38" i="13"/>
  <c r="F39" i="13" s="1"/>
  <c r="F40" i="13" s="1"/>
  <c r="F41" i="13" s="1"/>
  <c r="G38" i="13"/>
  <c r="G39" i="13" s="1"/>
  <c r="G40" i="13" s="1"/>
  <c r="G41" i="13" s="1"/>
  <c r="H38" i="13"/>
  <c r="H39" i="13" s="1"/>
  <c r="H40" i="13" s="1"/>
  <c r="H41" i="13" s="1"/>
  <c r="I38" i="13"/>
  <c r="I39" i="13" s="1"/>
  <c r="I40" i="13" s="1"/>
  <c r="I41" i="13" s="1"/>
  <c r="J38" i="13"/>
  <c r="J39" i="13" s="1"/>
  <c r="J40" i="13" s="1"/>
  <c r="J41" i="13" s="1"/>
  <c r="K38" i="13"/>
  <c r="K39" i="13" s="1"/>
  <c r="K40" i="13" s="1"/>
  <c r="K41" i="13" s="1"/>
  <c r="L38" i="13"/>
  <c r="L39" i="13" s="1"/>
  <c r="L40" i="13" s="1"/>
  <c r="L41" i="13" s="1"/>
  <c r="M38" i="13"/>
  <c r="M39" i="13" s="1"/>
  <c r="M40" i="13" s="1"/>
  <c r="M41" i="13" s="1"/>
  <c r="N38" i="13"/>
  <c r="N39" i="13" s="1"/>
  <c r="N40" i="13" s="1"/>
  <c r="N41" i="13" s="1"/>
  <c r="O38" i="13"/>
  <c r="O39" i="13" s="1"/>
  <c r="O40" i="13" s="1"/>
  <c r="O41" i="13" s="1"/>
  <c r="P38" i="13"/>
  <c r="P39" i="13" s="1"/>
  <c r="P40" i="13" s="1"/>
  <c r="P41" i="13" s="1"/>
  <c r="Q38" i="13"/>
  <c r="Q39" i="13" s="1"/>
  <c r="Q40" i="13" s="1"/>
  <c r="Q41" i="13" s="1"/>
  <c r="D45" i="13"/>
  <c r="E45" i="13"/>
  <c r="F45" i="13"/>
  <c r="G45" i="13"/>
  <c r="H45" i="13"/>
  <c r="I45" i="13"/>
  <c r="J45" i="13"/>
  <c r="K45" i="13"/>
  <c r="L45" i="13"/>
  <c r="M45" i="13"/>
  <c r="N45" i="13"/>
  <c r="O45" i="13"/>
  <c r="P45" i="13"/>
  <c r="Q45" i="13"/>
  <c r="E46" i="13"/>
  <c r="D46" i="13" s="1"/>
  <c r="F46" i="13"/>
  <c r="G46" i="13"/>
  <c r="H46" i="13"/>
  <c r="I46" i="13"/>
  <c r="J46" i="13"/>
  <c r="K46" i="13"/>
  <c r="L46" i="13"/>
  <c r="M46" i="13"/>
  <c r="N46" i="13"/>
  <c r="O46" i="13"/>
  <c r="P46" i="13"/>
  <c r="Q46" i="13"/>
  <c r="E47" i="13"/>
  <c r="D47" i="13" s="1"/>
  <c r="F47" i="13"/>
  <c r="G47" i="13"/>
  <c r="H47" i="13"/>
  <c r="I47" i="13"/>
  <c r="J47" i="13"/>
  <c r="K47" i="13"/>
  <c r="L47" i="13"/>
  <c r="M47" i="13"/>
  <c r="N47" i="13"/>
  <c r="O47" i="13"/>
  <c r="P47" i="13"/>
  <c r="Q47" i="13"/>
  <c r="F48" i="13"/>
  <c r="G48" i="13"/>
  <c r="G49" i="13" s="1"/>
  <c r="G50" i="13" s="1"/>
  <c r="G51" i="13" s="1"/>
  <c r="H48" i="13"/>
  <c r="H49" i="13" s="1"/>
  <c r="H50" i="13" s="1"/>
  <c r="H51" i="13" s="1"/>
  <c r="I48" i="13"/>
  <c r="I49" i="13" s="1"/>
  <c r="I50" i="13" s="1"/>
  <c r="I51" i="13" s="1"/>
  <c r="J48" i="13"/>
  <c r="J49" i="13" s="1"/>
  <c r="J50" i="13" s="1"/>
  <c r="J51" i="13" s="1"/>
  <c r="K48" i="13"/>
  <c r="K49" i="13" s="1"/>
  <c r="K50" i="13" s="1"/>
  <c r="K51" i="13" s="1"/>
  <c r="L48" i="13"/>
  <c r="L49" i="13" s="1"/>
  <c r="L50" i="13" s="1"/>
  <c r="L51" i="13" s="1"/>
  <c r="M48" i="13"/>
  <c r="M49" i="13" s="1"/>
  <c r="M50" i="13" s="1"/>
  <c r="M51" i="13" s="1"/>
  <c r="N48" i="13"/>
  <c r="N49" i="13" s="1"/>
  <c r="N50" i="13" s="1"/>
  <c r="N51" i="13" s="1"/>
  <c r="O48" i="13"/>
  <c r="O49" i="13" s="1"/>
  <c r="O50" i="13" s="1"/>
  <c r="O51" i="13" s="1"/>
  <c r="P48" i="13"/>
  <c r="P49" i="13" s="1"/>
  <c r="P50" i="13" s="1"/>
  <c r="P51" i="13" s="1"/>
  <c r="Q48" i="13"/>
  <c r="Q49" i="13" s="1"/>
  <c r="Q50" i="13" s="1"/>
  <c r="Q51" i="13" s="1"/>
  <c r="D53" i="13"/>
  <c r="E53" i="13"/>
  <c r="F53" i="13"/>
  <c r="G53" i="13"/>
  <c r="H53" i="13"/>
  <c r="I53" i="13"/>
  <c r="J53" i="13"/>
  <c r="K53" i="13"/>
  <c r="L53" i="13"/>
  <c r="M53" i="13"/>
  <c r="N53" i="13"/>
  <c r="O53" i="13"/>
  <c r="P53" i="13"/>
  <c r="Q53" i="13"/>
  <c r="D54" i="13"/>
  <c r="E54" i="13"/>
  <c r="F54" i="13"/>
  <c r="G54" i="13"/>
  <c r="H54" i="13"/>
  <c r="I54" i="13"/>
  <c r="J54" i="13"/>
  <c r="K54" i="13"/>
  <c r="L54" i="13"/>
  <c r="M54" i="13"/>
  <c r="N54" i="13"/>
  <c r="O54" i="13"/>
  <c r="P54" i="13"/>
  <c r="Q54" i="13"/>
  <c r="D55" i="13"/>
  <c r="E55" i="13"/>
  <c r="F55" i="13"/>
  <c r="G55" i="13"/>
  <c r="H55" i="13"/>
  <c r="I55" i="13"/>
  <c r="J55" i="13"/>
  <c r="K55" i="13"/>
  <c r="L55" i="13"/>
  <c r="M55" i="13"/>
  <c r="N55" i="13"/>
  <c r="O55" i="13"/>
  <c r="P55" i="13"/>
  <c r="Q55" i="13"/>
  <c r="E56" i="13"/>
  <c r="F56" i="13"/>
  <c r="F57" i="13" s="1"/>
  <c r="F58" i="13" s="1"/>
  <c r="F59" i="13" s="1"/>
  <c r="G56" i="13"/>
  <c r="G57" i="13" s="1"/>
  <c r="G58" i="13" s="1"/>
  <c r="G59" i="13" s="1"/>
  <c r="H56" i="13"/>
  <c r="H57" i="13" s="1"/>
  <c r="H58" i="13" s="1"/>
  <c r="H59" i="13" s="1"/>
  <c r="I56" i="13"/>
  <c r="I57" i="13" s="1"/>
  <c r="I58" i="13" s="1"/>
  <c r="I59" i="13" s="1"/>
  <c r="J56" i="13"/>
  <c r="J57" i="13" s="1"/>
  <c r="J58" i="13" s="1"/>
  <c r="J59" i="13" s="1"/>
  <c r="K56" i="13"/>
  <c r="K57" i="13" s="1"/>
  <c r="K58" i="13" s="1"/>
  <c r="K59" i="13" s="1"/>
  <c r="L56" i="13"/>
  <c r="L57" i="13" s="1"/>
  <c r="L58" i="13" s="1"/>
  <c r="L59" i="13" s="1"/>
  <c r="M56" i="13"/>
  <c r="M57" i="13" s="1"/>
  <c r="M58" i="13" s="1"/>
  <c r="M59" i="13" s="1"/>
  <c r="N56" i="13"/>
  <c r="N57" i="13" s="1"/>
  <c r="N58" i="13" s="1"/>
  <c r="N59" i="13" s="1"/>
  <c r="O56" i="13"/>
  <c r="O57" i="13" s="1"/>
  <c r="O58" i="13" s="1"/>
  <c r="O59" i="13" s="1"/>
  <c r="P56" i="13"/>
  <c r="P57" i="13" s="1"/>
  <c r="P58" i="13" s="1"/>
  <c r="P59" i="13" s="1"/>
  <c r="Q56" i="13"/>
  <c r="Q57" i="13" s="1"/>
  <c r="Q58" i="13" s="1"/>
  <c r="Q59" i="13" s="1"/>
  <c r="D62" i="13"/>
  <c r="E62" i="13"/>
  <c r="F62" i="13"/>
  <c r="G62" i="13"/>
  <c r="H62" i="13"/>
  <c r="I62" i="13"/>
  <c r="J62" i="13"/>
  <c r="K62" i="13"/>
  <c r="L62" i="13"/>
  <c r="M62" i="13"/>
  <c r="N62" i="13"/>
  <c r="O62" i="13"/>
  <c r="P62" i="13"/>
  <c r="Q62" i="13"/>
  <c r="E63" i="13"/>
  <c r="D63" i="13" s="1"/>
  <c r="F63" i="13"/>
  <c r="G63" i="13"/>
  <c r="H63" i="13"/>
  <c r="I63" i="13"/>
  <c r="J63" i="13"/>
  <c r="K63" i="13"/>
  <c r="L63" i="13"/>
  <c r="M63" i="13"/>
  <c r="N63" i="13"/>
  <c r="O63" i="13"/>
  <c r="P63" i="13"/>
  <c r="Q63" i="13"/>
  <c r="E64" i="13"/>
  <c r="D64" i="13" s="1"/>
  <c r="F64" i="13"/>
  <c r="G64" i="13"/>
  <c r="H64" i="13"/>
  <c r="I64" i="13"/>
  <c r="J64" i="13"/>
  <c r="K64" i="13"/>
  <c r="L64" i="13"/>
  <c r="M64" i="13"/>
  <c r="N64" i="13"/>
  <c r="O64" i="13"/>
  <c r="P64" i="13"/>
  <c r="Q64" i="13"/>
  <c r="F65" i="13"/>
  <c r="G65" i="13"/>
  <c r="G66" i="13" s="1"/>
  <c r="G67" i="13" s="1"/>
  <c r="G68" i="13" s="1"/>
  <c r="H65" i="13"/>
  <c r="H66" i="13" s="1"/>
  <c r="H67" i="13" s="1"/>
  <c r="H68" i="13" s="1"/>
  <c r="I65" i="13"/>
  <c r="I66" i="13" s="1"/>
  <c r="I67" i="13" s="1"/>
  <c r="I68" i="13" s="1"/>
  <c r="J65" i="13"/>
  <c r="J66" i="13" s="1"/>
  <c r="J67" i="13" s="1"/>
  <c r="J68" i="13" s="1"/>
  <c r="K65" i="13"/>
  <c r="K66" i="13" s="1"/>
  <c r="K67" i="13" s="1"/>
  <c r="K68" i="13" s="1"/>
  <c r="L65" i="13"/>
  <c r="L66" i="13" s="1"/>
  <c r="L67" i="13" s="1"/>
  <c r="L68" i="13" s="1"/>
  <c r="M65" i="13"/>
  <c r="M66" i="13" s="1"/>
  <c r="M67" i="13" s="1"/>
  <c r="M68" i="13" s="1"/>
  <c r="N65" i="13"/>
  <c r="N66" i="13" s="1"/>
  <c r="N67" i="13" s="1"/>
  <c r="N68" i="13" s="1"/>
  <c r="O65" i="13"/>
  <c r="O66" i="13" s="1"/>
  <c r="O67" i="13" s="1"/>
  <c r="O68" i="13" s="1"/>
  <c r="P65" i="13"/>
  <c r="P66" i="13" s="1"/>
  <c r="P67" i="13" s="1"/>
  <c r="P68" i="13" s="1"/>
  <c r="Q65" i="13"/>
  <c r="Q66" i="13" s="1"/>
  <c r="Q67" i="13" s="1"/>
  <c r="Q68" i="13" s="1"/>
  <c r="D70" i="13"/>
  <c r="E70" i="13"/>
  <c r="F70" i="13"/>
  <c r="G70" i="13"/>
  <c r="H70" i="13"/>
  <c r="I70" i="13"/>
  <c r="J70" i="13"/>
  <c r="K70" i="13"/>
  <c r="L70" i="13"/>
  <c r="M70" i="13"/>
  <c r="N70" i="13"/>
  <c r="O70" i="13"/>
  <c r="P70" i="13"/>
  <c r="Q70" i="13"/>
  <c r="D71" i="13"/>
  <c r="E71" i="13"/>
  <c r="F71" i="13"/>
  <c r="G71" i="13"/>
  <c r="H71" i="13"/>
  <c r="I71" i="13"/>
  <c r="J71" i="13"/>
  <c r="K71" i="13"/>
  <c r="L71" i="13"/>
  <c r="M71" i="13"/>
  <c r="N71" i="13"/>
  <c r="O71" i="13"/>
  <c r="P71" i="13"/>
  <c r="Q71" i="13"/>
  <c r="D72" i="13"/>
  <c r="E72" i="13"/>
  <c r="F72" i="13"/>
  <c r="G72" i="13"/>
  <c r="H72" i="13"/>
  <c r="I72" i="13"/>
  <c r="J72" i="13"/>
  <c r="K72" i="13"/>
  <c r="L72" i="13"/>
  <c r="M72" i="13"/>
  <c r="N72" i="13"/>
  <c r="O72" i="13"/>
  <c r="P72" i="13"/>
  <c r="Q72" i="13"/>
  <c r="E73" i="13"/>
  <c r="F73" i="13"/>
  <c r="F74" i="13" s="1"/>
  <c r="F75" i="13" s="1"/>
  <c r="F76" i="13" s="1"/>
  <c r="G73" i="13"/>
  <c r="G74" i="13" s="1"/>
  <c r="G75" i="13" s="1"/>
  <c r="G76" i="13" s="1"/>
  <c r="H73" i="13"/>
  <c r="H74" i="13" s="1"/>
  <c r="H75" i="13" s="1"/>
  <c r="H76" i="13" s="1"/>
  <c r="I73" i="13"/>
  <c r="I74" i="13" s="1"/>
  <c r="I75" i="13" s="1"/>
  <c r="I76" i="13" s="1"/>
  <c r="J73" i="13"/>
  <c r="J74" i="13" s="1"/>
  <c r="J75" i="13" s="1"/>
  <c r="J76" i="13" s="1"/>
  <c r="K73" i="13"/>
  <c r="K74" i="13" s="1"/>
  <c r="K75" i="13" s="1"/>
  <c r="K76" i="13" s="1"/>
  <c r="L73" i="13"/>
  <c r="L74" i="13" s="1"/>
  <c r="L75" i="13" s="1"/>
  <c r="L76" i="13" s="1"/>
  <c r="M73" i="13"/>
  <c r="M74" i="13" s="1"/>
  <c r="M75" i="13" s="1"/>
  <c r="M76" i="13" s="1"/>
  <c r="N73" i="13"/>
  <c r="N74" i="13" s="1"/>
  <c r="N75" i="13" s="1"/>
  <c r="N76" i="13" s="1"/>
  <c r="O73" i="13"/>
  <c r="O74" i="13" s="1"/>
  <c r="O75" i="13" s="1"/>
  <c r="O76" i="13" s="1"/>
  <c r="P73" i="13"/>
  <c r="P74" i="13" s="1"/>
  <c r="P75" i="13" s="1"/>
  <c r="P76" i="13" s="1"/>
  <c r="Q73" i="13"/>
  <c r="Q74" i="13" s="1"/>
  <c r="Q75" i="13" s="1"/>
  <c r="Q76" i="13" s="1"/>
  <c r="D79" i="13"/>
  <c r="E79" i="13"/>
  <c r="F79" i="13"/>
  <c r="G79" i="13"/>
  <c r="H79" i="13"/>
  <c r="I79" i="13"/>
  <c r="J79" i="13"/>
  <c r="K79" i="13"/>
  <c r="L79" i="13"/>
  <c r="M79" i="13"/>
  <c r="N79" i="13"/>
  <c r="O79" i="13"/>
  <c r="P79" i="13"/>
  <c r="Q79" i="13"/>
  <c r="E80" i="13"/>
  <c r="D80" i="13" s="1"/>
  <c r="F80" i="13"/>
  <c r="G80" i="13"/>
  <c r="H80" i="13"/>
  <c r="I80" i="13"/>
  <c r="J80" i="13"/>
  <c r="K80" i="13"/>
  <c r="L80" i="13"/>
  <c r="M80" i="13"/>
  <c r="N80" i="13"/>
  <c r="O80" i="13"/>
  <c r="P80" i="13"/>
  <c r="Q80" i="13"/>
  <c r="E81" i="13"/>
  <c r="D81" i="13" s="1"/>
  <c r="F81" i="13"/>
  <c r="G81" i="13"/>
  <c r="H81" i="13"/>
  <c r="I81" i="13"/>
  <c r="J81" i="13"/>
  <c r="K81" i="13"/>
  <c r="L81" i="13"/>
  <c r="M81" i="13"/>
  <c r="N81" i="13"/>
  <c r="O81" i="13"/>
  <c r="P81" i="13"/>
  <c r="Q81" i="13"/>
  <c r="F82" i="13"/>
  <c r="G82" i="13"/>
  <c r="G83" i="13" s="1"/>
  <c r="G84" i="13" s="1"/>
  <c r="G85" i="13" s="1"/>
  <c r="H82" i="13"/>
  <c r="H83" i="13" s="1"/>
  <c r="H84" i="13" s="1"/>
  <c r="H85" i="13" s="1"/>
  <c r="I82" i="13"/>
  <c r="I83" i="13" s="1"/>
  <c r="I84" i="13" s="1"/>
  <c r="I85" i="13" s="1"/>
  <c r="J82" i="13"/>
  <c r="J83" i="13" s="1"/>
  <c r="J84" i="13" s="1"/>
  <c r="J85" i="13" s="1"/>
  <c r="K82" i="13"/>
  <c r="K83" i="13" s="1"/>
  <c r="K84" i="13" s="1"/>
  <c r="K85" i="13" s="1"/>
  <c r="L82" i="13"/>
  <c r="L83" i="13" s="1"/>
  <c r="L84" i="13" s="1"/>
  <c r="L85" i="13" s="1"/>
  <c r="M82" i="13"/>
  <c r="M83" i="13" s="1"/>
  <c r="M84" i="13" s="1"/>
  <c r="M85" i="13" s="1"/>
  <c r="N82" i="13"/>
  <c r="N83" i="13" s="1"/>
  <c r="N84" i="13" s="1"/>
  <c r="N85" i="13" s="1"/>
  <c r="O82" i="13"/>
  <c r="O83" i="13" s="1"/>
  <c r="O84" i="13" s="1"/>
  <c r="O85" i="13" s="1"/>
  <c r="P82" i="13"/>
  <c r="P83" i="13" s="1"/>
  <c r="P84" i="13" s="1"/>
  <c r="P85" i="13" s="1"/>
  <c r="Q82" i="13"/>
  <c r="Q83" i="13" s="1"/>
  <c r="Q84" i="13" s="1"/>
  <c r="Q85" i="13" s="1"/>
  <c r="D87" i="13"/>
  <c r="E87" i="13"/>
  <c r="F87" i="13"/>
  <c r="G87" i="13"/>
  <c r="H87" i="13"/>
  <c r="I87" i="13"/>
  <c r="J87" i="13"/>
  <c r="K87" i="13"/>
  <c r="L87" i="13"/>
  <c r="M87" i="13"/>
  <c r="N87" i="13"/>
  <c r="O87" i="13"/>
  <c r="P87" i="13"/>
  <c r="Q87" i="13"/>
  <c r="D88" i="13"/>
  <c r="E88" i="13"/>
  <c r="F88" i="13"/>
  <c r="G88" i="13"/>
  <c r="H88" i="13"/>
  <c r="I88" i="13"/>
  <c r="J88" i="13"/>
  <c r="K88" i="13"/>
  <c r="L88" i="13"/>
  <c r="M88" i="13"/>
  <c r="N88" i="13"/>
  <c r="O88" i="13"/>
  <c r="P88" i="13"/>
  <c r="Q88" i="13"/>
  <c r="D89" i="13"/>
  <c r="E89" i="13"/>
  <c r="F89" i="13"/>
  <c r="G89" i="13"/>
  <c r="H89" i="13"/>
  <c r="I89" i="13"/>
  <c r="J89" i="13"/>
  <c r="K89" i="13"/>
  <c r="L89" i="13"/>
  <c r="M89" i="13"/>
  <c r="N89" i="13"/>
  <c r="O89" i="13"/>
  <c r="P89" i="13"/>
  <c r="Q89" i="13"/>
  <c r="E90" i="13"/>
  <c r="F90" i="13"/>
  <c r="F91" i="13" s="1"/>
  <c r="F92" i="13" s="1"/>
  <c r="F93" i="13" s="1"/>
  <c r="G90" i="13"/>
  <c r="G91" i="13" s="1"/>
  <c r="G92" i="13" s="1"/>
  <c r="G93" i="13" s="1"/>
  <c r="H90" i="13"/>
  <c r="H91" i="13" s="1"/>
  <c r="H92" i="13" s="1"/>
  <c r="H93" i="13" s="1"/>
  <c r="I90" i="13"/>
  <c r="I91" i="13" s="1"/>
  <c r="I92" i="13" s="1"/>
  <c r="I93" i="13" s="1"/>
  <c r="J90" i="13"/>
  <c r="J91" i="13" s="1"/>
  <c r="J92" i="13" s="1"/>
  <c r="J93" i="13" s="1"/>
  <c r="K90" i="13"/>
  <c r="K91" i="13" s="1"/>
  <c r="K92" i="13" s="1"/>
  <c r="K93" i="13" s="1"/>
  <c r="L90" i="13"/>
  <c r="L91" i="13" s="1"/>
  <c r="L92" i="13" s="1"/>
  <c r="L93" i="13" s="1"/>
  <c r="M90" i="13"/>
  <c r="M91" i="13" s="1"/>
  <c r="M92" i="13" s="1"/>
  <c r="M93" i="13" s="1"/>
  <c r="N90" i="13"/>
  <c r="N91" i="13" s="1"/>
  <c r="N92" i="13" s="1"/>
  <c r="N93" i="13" s="1"/>
  <c r="O90" i="13"/>
  <c r="O91" i="13" s="1"/>
  <c r="O92" i="13" s="1"/>
  <c r="O93" i="13" s="1"/>
  <c r="P90" i="13"/>
  <c r="P91" i="13" s="1"/>
  <c r="P92" i="13" s="1"/>
  <c r="P93" i="13" s="1"/>
  <c r="Q90" i="13"/>
  <c r="Q91" i="13" s="1"/>
  <c r="Q92" i="13" s="1"/>
  <c r="Q93" i="13" s="1"/>
  <c r="D96" i="13"/>
  <c r="E96" i="13"/>
  <c r="F96" i="13"/>
  <c r="G96" i="13"/>
  <c r="H96" i="13"/>
  <c r="I96" i="13"/>
  <c r="J96" i="13"/>
  <c r="K96" i="13"/>
  <c r="L96" i="13"/>
  <c r="M96" i="13"/>
  <c r="N96" i="13"/>
  <c r="O96" i="13"/>
  <c r="P96" i="13"/>
  <c r="Q96" i="13"/>
  <c r="E97" i="13"/>
  <c r="D97" i="13" s="1"/>
  <c r="F97" i="13"/>
  <c r="G97" i="13"/>
  <c r="H97" i="13"/>
  <c r="I97" i="13"/>
  <c r="J97" i="13"/>
  <c r="K97" i="13"/>
  <c r="L97" i="13"/>
  <c r="M97" i="13"/>
  <c r="N97" i="13"/>
  <c r="O97" i="13"/>
  <c r="P97" i="13"/>
  <c r="Q97" i="13"/>
  <c r="E98" i="13"/>
  <c r="D98" i="13" s="1"/>
  <c r="F98" i="13"/>
  <c r="G98" i="13"/>
  <c r="H98" i="13"/>
  <c r="I98" i="13"/>
  <c r="J98" i="13"/>
  <c r="K98" i="13"/>
  <c r="L98" i="13"/>
  <c r="M98" i="13"/>
  <c r="N98" i="13"/>
  <c r="O98" i="13"/>
  <c r="P98" i="13"/>
  <c r="Q98" i="13"/>
  <c r="F99" i="13"/>
  <c r="G99" i="13"/>
  <c r="G100" i="13" s="1"/>
  <c r="G101" i="13" s="1"/>
  <c r="G102" i="13" s="1"/>
  <c r="H99" i="13"/>
  <c r="H100" i="13" s="1"/>
  <c r="H101" i="13" s="1"/>
  <c r="H102" i="13" s="1"/>
  <c r="I99" i="13"/>
  <c r="I100" i="13" s="1"/>
  <c r="I101" i="13" s="1"/>
  <c r="I102" i="13" s="1"/>
  <c r="J99" i="13"/>
  <c r="J100" i="13" s="1"/>
  <c r="J101" i="13" s="1"/>
  <c r="J102" i="13" s="1"/>
  <c r="K99" i="13"/>
  <c r="K100" i="13" s="1"/>
  <c r="K101" i="13" s="1"/>
  <c r="K102" i="13" s="1"/>
  <c r="L99" i="13"/>
  <c r="L100" i="13" s="1"/>
  <c r="L101" i="13" s="1"/>
  <c r="L102" i="13" s="1"/>
  <c r="M99" i="13"/>
  <c r="M100" i="13" s="1"/>
  <c r="M101" i="13" s="1"/>
  <c r="M102" i="13" s="1"/>
  <c r="N99" i="13"/>
  <c r="N100" i="13" s="1"/>
  <c r="N101" i="13" s="1"/>
  <c r="N102" i="13" s="1"/>
  <c r="O99" i="13"/>
  <c r="O100" i="13" s="1"/>
  <c r="O101" i="13" s="1"/>
  <c r="O102" i="13" s="1"/>
  <c r="P99" i="13"/>
  <c r="P100" i="13" s="1"/>
  <c r="P101" i="13" s="1"/>
  <c r="P102" i="13" s="1"/>
  <c r="Q99" i="13"/>
  <c r="Q100" i="13" s="1"/>
  <c r="Q101" i="13" s="1"/>
  <c r="Q102" i="13" s="1"/>
  <c r="D104" i="13"/>
  <c r="E104" i="13"/>
  <c r="F104" i="13"/>
  <c r="G104" i="13"/>
  <c r="H104" i="13"/>
  <c r="I104" i="13"/>
  <c r="J104" i="13"/>
  <c r="K104" i="13"/>
  <c r="L104" i="13"/>
  <c r="M104" i="13"/>
  <c r="N104" i="13"/>
  <c r="O104" i="13"/>
  <c r="P104" i="13"/>
  <c r="Q104" i="13"/>
  <c r="D105" i="13"/>
  <c r="E105" i="13"/>
  <c r="F105" i="13"/>
  <c r="G105" i="13"/>
  <c r="H105" i="13"/>
  <c r="I105" i="13"/>
  <c r="J105" i="13"/>
  <c r="K105" i="13"/>
  <c r="L105" i="13"/>
  <c r="M105" i="13"/>
  <c r="N105" i="13"/>
  <c r="O105" i="13"/>
  <c r="P105" i="13"/>
  <c r="Q105" i="13"/>
  <c r="D106" i="13"/>
  <c r="E106" i="13"/>
  <c r="F106" i="13"/>
  <c r="G106" i="13"/>
  <c r="H106" i="13"/>
  <c r="I106" i="13"/>
  <c r="J106" i="13"/>
  <c r="K106" i="13"/>
  <c r="L106" i="13"/>
  <c r="M106" i="13"/>
  <c r="N106" i="13"/>
  <c r="O106" i="13"/>
  <c r="P106" i="13"/>
  <c r="Q106" i="13"/>
  <c r="E107" i="13"/>
  <c r="F107" i="13"/>
  <c r="F108" i="13" s="1"/>
  <c r="F109" i="13" s="1"/>
  <c r="F110" i="13" s="1"/>
  <c r="G107" i="13"/>
  <c r="G108" i="13" s="1"/>
  <c r="G109" i="13" s="1"/>
  <c r="G110" i="13" s="1"/>
  <c r="H107" i="13"/>
  <c r="H108" i="13" s="1"/>
  <c r="H109" i="13" s="1"/>
  <c r="H110" i="13" s="1"/>
  <c r="I107" i="13"/>
  <c r="I108" i="13" s="1"/>
  <c r="I109" i="13" s="1"/>
  <c r="I110" i="13" s="1"/>
  <c r="J107" i="13"/>
  <c r="J108" i="13" s="1"/>
  <c r="J109" i="13" s="1"/>
  <c r="J110" i="13" s="1"/>
  <c r="K107" i="13"/>
  <c r="K108" i="13" s="1"/>
  <c r="K109" i="13" s="1"/>
  <c r="K110" i="13" s="1"/>
  <c r="L107" i="13"/>
  <c r="L108" i="13" s="1"/>
  <c r="L109" i="13" s="1"/>
  <c r="L110" i="13" s="1"/>
  <c r="M107" i="13"/>
  <c r="M108" i="13" s="1"/>
  <c r="M109" i="13" s="1"/>
  <c r="M110" i="13" s="1"/>
  <c r="N107" i="13"/>
  <c r="N108" i="13" s="1"/>
  <c r="N109" i="13" s="1"/>
  <c r="N110" i="13" s="1"/>
  <c r="O107" i="13"/>
  <c r="O108" i="13" s="1"/>
  <c r="O109" i="13" s="1"/>
  <c r="O110" i="13" s="1"/>
  <c r="P107" i="13"/>
  <c r="P108" i="13" s="1"/>
  <c r="P109" i="13" s="1"/>
  <c r="P110" i="13" s="1"/>
  <c r="Q107" i="13"/>
  <c r="Q108" i="13" s="1"/>
  <c r="Q109" i="13" s="1"/>
  <c r="Q110" i="13" s="1"/>
  <c r="D113" i="13"/>
  <c r="E113" i="13"/>
  <c r="F113" i="13"/>
  <c r="G113" i="13"/>
  <c r="H113" i="13"/>
  <c r="I113" i="13"/>
  <c r="J113" i="13"/>
  <c r="K113" i="13"/>
  <c r="L113" i="13"/>
  <c r="M113" i="13"/>
  <c r="N113" i="13"/>
  <c r="O113" i="13"/>
  <c r="P113" i="13"/>
  <c r="Q113" i="13"/>
  <c r="E114" i="13"/>
  <c r="D114" i="13" s="1"/>
  <c r="F114" i="13"/>
  <c r="G114" i="13"/>
  <c r="H114" i="13"/>
  <c r="I114" i="13"/>
  <c r="J114" i="13"/>
  <c r="K114" i="13"/>
  <c r="L114" i="13"/>
  <c r="M114" i="13"/>
  <c r="N114" i="13"/>
  <c r="O114" i="13"/>
  <c r="P114" i="13"/>
  <c r="Q114" i="13"/>
  <c r="E115" i="13"/>
  <c r="D115" i="13" s="1"/>
  <c r="F115" i="13"/>
  <c r="G115" i="13"/>
  <c r="H115" i="13"/>
  <c r="I115" i="13"/>
  <c r="J115" i="13"/>
  <c r="K115" i="13"/>
  <c r="L115" i="13"/>
  <c r="M115" i="13"/>
  <c r="N115" i="13"/>
  <c r="O115" i="13"/>
  <c r="P115" i="13"/>
  <c r="Q115" i="13"/>
  <c r="F116" i="13"/>
  <c r="G116" i="13"/>
  <c r="G117" i="13" s="1"/>
  <c r="G118" i="13" s="1"/>
  <c r="G119" i="13" s="1"/>
  <c r="H116" i="13"/>
  <c r="H117" i="13" s="1"/>
  <c r="H118" i="13" s="1"/>
  <c r="H119" i="13" s="1"/>
  <c r="I116" i="13"/>
  <c r="I117" i="13" s="1"/>
  <c r="I118" i="13" s="1"/>
  <c r="I119" i="13" s="1"/>
  <c r="J116" i="13"/>
  <c r="J117" i="13" s="1"/>
  <c r="J118" i="13" s="1"/>
  <c r="J119" i="13" s="1"/>
  <c r="K116" i="13"/>
  <c r="K117" i="13" s="1"/>
  <c r="K118" i="13" s="1"/>
  <c r="K119" i="13" s="1"/>
  <c r="L116" i="13"/>
  <c r="L117" i="13" s="1"/>
  <c r="L118" i="13" s="1"/>
  <c r="L119" i="13" s="1"/>
  <c r="M116" i="13"/>
  <c r="M117" i="13" s="1"/>
  <c r="M118" i="13" s="1"/>
  <c r="M119" i="13" s="1"/>
  <c r="N116" i="13"/>
  <c r="N117" i="13" s="1"/>
  <c r="N118" i="13" s="1"/>
  <c r="N119" i="13" s="1"/>
  <c r="O116" i="13"/>
  <c r="O117" i="13" s="1"/>
  <c r="O118" i="13" s="1"/>
  <c r="O119" i="13" s="1"/>
  <c r="P116" i="13"/>
  <c r="P117" i="13" s="1"/>
  <c r="P118" i="13" s="1"/>
  <c r="P119" i="13" s="1"/>
  <c r="Q116" i="13"/>
  <c r="Q117" i="13" s="1"/>
  <c r="Q118" i="13" s="1"/>
  <c r="Q119" i="13" s="1"/>
  <c r="D121" i="13"/>
  <c r="E121" i="13"/>
  <c r="F121" i="13"/>
  <c r="G121" i="13"/>
  <c r="H121" i="13"/>
  <c r="I121" i="13"/>
  <c r="J121" i="13"/>
  <c r="K121" i="13"/>
  <c r="L121" i="13"/>
  <c r="M121" i="13"/>
  <c r="N121" i="13"/>
  <c r="O121" i="13"/>
  <c r="P121" i="13"/>
  <c r="Q121" i="13"/>
  <c r="D122" i="13"/>
  <c r="E122" i="13"/>
  <c r="F122" i="13"/>
  <c r="G122" i="13"/>
  <c r="H122" i="13"/>
  <c r="I122" i="13"/>
  <c r="J122" i="13"/>
  <c r="K122" i="13"/>
  <c r="L122" i="13"/>
  <c r="M122" i="13"/>
  <c r="N122" i="13"/>
  <c r="O122" i="13"/>
  <c r="P122" i="13"/>
  <c r="Q122" i="13"/>
  <c r="D123" i="13"/>
  <c r="E123" i="13"/>
  <c r="F123" i="13"/>
  <c r="G123" i="13"/>
  <c r="H123" i="13"/>
  <c r="I123" i="13"/>
  <c r="J123" i="13"/>
  <c r="K123" i="13"/>
  <c r="L123" i="13"/>
  <c r="M123" i="13"/>
  <c r="N123" i="13"/>
  <c r="O123" i="13"/>
  <c r="P123" i="13"/>
  <c r="Q123" i="13"/>
  <c r="E124" i="13"/>
  <c r="F124" i="13"/>
  <c r="F125" i="13" s="1"/>
  <c r="F126" i="13" s="1"/>
  <c r="F127" i="13" s="1"/>
  <c r="G124" i="13"/>
  <c r="G125" i="13" s="1"/>
  <c r="G126" i="13" s="1"/>
  <c r="G127" i="13" s="1"/>
  <c r="H124" i="13"/>
  <c r="H125" i="13" s="1"/>
  <c r="H126" i="13" s="1"/>
  <c r="H127" i="13" s="1"/>
  <c r="I124" i="13"/>
  <c r="I125" i="13" s="1"/>
  <c r="I126" i="13" s="1"/>
  <c r="I127" i="13" s="1"/>
  <c r="J124" i="13"/>
  <c r="J125" i="13" s="1"/>
  <c r="J126" i="13" s="1"/>
  <c r="J127" i="13" s="1"/>
  <c r="K124" i="13"/>
  <c r="K125" i="13" s="1"/>
  <c r="K126" i="13" s="1"/>
  <c r="K127" i="13" s="1"/>
  <c r="L124" i="13"/>
  <c r="L125" i="13" s="1"/>
  <c r="L126" i="13" s="1"/>
  <c r="L127" i="13" s="1"/>
  <c r="M124" i="13"/>
  <c r="M125" i="13" s="1"/>
  <c r="M126" i="13" s="1"/>
  <c r="M127" i="13" s="1"/>
  <c r="N124" i="13"/>
  <c r="N125" i="13" s="1"/>
  <c r="N126" i="13" s="1"/>
  <c r="N127" i="13" s="1"/>
  <c r="O124" i="13"/>
  <c r="O125" i="13" s="1"/>
  <c r="O126" i="13" s="1"/>
  <c r="O127" i="13" s="1"/>
  <c r="P124" i="13"/>
  <c r="P125" i="13" s="1"/>
  <c r="P126" i="13" s="1"/>
  <c r="P127" i="13" s="1"/>
  <c r="Q124" i="13"/>
  <c r="Q125" i="13" s="1"/>
  <c r="Q126" i="13" s="1"/>
  <c r="Q127" i="13" s="1"/>
  <c r="D130" i="13"/>
  <c r="E130" i="13"/>
  <c r="F130" i="13"/>
  <c r="G130" i="13"/>
  <c r="H130" i="13"/>
  <c r="I130" i="13"/>
  <c r="J130" i="13"/>
  <c r="K130" i="13"/>
  <c r="L130" i="13"/>
  <c r="M130" i="13"/>
  <c r="N130" i="13"/>
  <c r="O130" i="13"/>
  <c r="P130" i="13"/>
  <c r="Q130" i="13"/>
  <c r="E131" i="13"/>
  <c r="D131" i="13" s="1"/>
  <c r="F131" i="13"/>
  <c r="G131" i="13"/>
  <c r="H131" i="13"/>
  <c r="I131" i="13"/>
  <c r="J131" i="13"/>
  <c r="K131" i="13"/>
  <c r="L131" i="13"/>
  <c r="M131" i="13"/>
  <c r="N131" i="13"/>
  <c r="O131" i="13"/>
  <c r="P131" i="13"/>
  <c r="Q131" i="13"/>
  <c r="E132" i="13"/>
  <c r="D132" i="13" s="1"/>
  <c r="F132" i="13"/>
  <c r="G132" i="13"/>
  <c r="H132" i="13"/>
  <c r="I132" i="13"/>
  <c r="J132" i="13"/>
  <c r="K132" i="13"/>
  <c r="L132" i="13"/>
  <c r="M132" i="13"/>
  <c r="N132" i="13"/>
  <c r="O132" i="13"/>
  <c r="P132" i="13"/>
  <c r="Q132" i="13"/>
  <c r="F133" i="13"/>
  <c r="G133" i="13"/>
  <c r="G134" i="13" s="1"/>
  <c r="G135" i="13" s="1"/>
  <c r="G136" i="13" s="1"/>
  <c r="H133" i="13"/>
  <c r="H134" i="13" s="1"/>
  <c r="H135" i="13" s="1"/>
  <c r="H136" i="13" s="1"/>
  <c r="I133" i="13"/>
  <c r="I134" i="13" s="1"/>
  <c r="I135" i="13" s="1"/>
  <c r="I136" i="13" s="1"/>
  <c r="J133" i="13"/>
  <c r="J134" i="13" s="1"/>
  <c r="J135" i="13" s="1"/>
  <c r="J136" i="13" s="1"/>
  <c r="K133" i="13"/>
  <c r="K134" i="13" s="1"/>
  <c r="K135" i="13" s="1"/>
  <c r="K136" i="13" s="1"/>
  <c r="L133" i="13"/>
  <c r="L134" i="13" s="1"/>
  <c r="L135" i="13" s="1"/>
  <c r="L136" i="13" s="1"/>
  <c r="M133" i="13"/>
  <c r="M134" i="13" s="1"/>
  <c r="M135" i="13" s="1"/>
  <c r="M136" i="13" s="1"/>
  <c r="N133" i="13"/>
  <c r="N134" i="13" s="1"/>
  <c r="N135" i="13" s="1"/>
  <c r="N136" i="13" s="1"/>
  <c r="O133" i="13"/>
  <c r="O134" i="13" s="1"/>
  <c r="O135" i="13" s="1"/>
  <c r="O136" i="13" s="1"/>
  <c r="P133" i="13"/>
  <c r="P134" i="13" s="1"/>
  <c r="P135" i="13" s="1"/>
  <c r="P136" i="13" s="1"/>
  <c r="Q133" i="13"/>
  <c r="Q134" i="13" s="1"/>
  <c r="Q135" i="13" s="1"/>
  <c r="Q136" i="13" s="1"/>
  <c r="D138" i="13"/>
  <c r="E138" i="13"/>
  <c r="F138" i="13"/>
  <c r="G138" i="13"/>
  <c r="H138" i="13"/>
  <c r="I138" i="13"/>
  <c r="J138" i="13"/>
  <c r="K138" i="13"/>
  <c r="L138" i="13"/>
  <c r="M138" i="13"/>
  <c r="N138" i="13"/>
  <c r="O138" i="13"/>
  <c r="P138" i="13"/>
  <c r="Q138" i="13"/>
  <c r="D139" i="13"/>
  <c r="E139" i="13"/>
  <c r="F139" i="13"/>
  <c r="G139" i="13"/>
  <c r="H139" i="13"/>
  <c r="I139" i="13"/>
  <c r="J139" i="13"/>
  <c r="K139" i="13"/>
  <c r="L139" i="13"/>
  <c r="M139" i="13"/>
  <c r="N139" i="13"/>
  <c r="O139" i="13"/>
  <c r="P139" i="13"/>
  <c r="Q139" i="13"/>
  <c r="D140" i="13"/>
  <c r="E140" i="13"/>
  <c r="F140" i="13"/>
  <c r="G140" i="13"/>
  <c r="H140" i="13"/>
  <c r="I140" i="13"/>
  <c r="J140" i="13"/>
  <c r="K140" i="13"/>
  <c r="L140" i="13"/>
  <c r="M140" i="13"/>
  <c r="N140" i="13"/>
  <c r="O140" i="13"/>
  <c r="P140" i="13"/>
  <c r="Q140" i="13"/>
  <c r="E141" i="13"/>
  <c r="F141" i="13"/>
  <c r="F142" i="13" s="1"/>
  <c r="F143" i="13" s="1"/>
  <c r="F144" i="13" s="1"/>
  <c r="G141" i="13"/>
  <c r="G142" i="13" s="1"/>
  <c r="G143" i="13" s="1"/>
  <c r="G144" i="13" s="1"/>
  <c r="H141" i="13"/>
  <c r="H142" i="13" s="1"/>
  <c r="H143" i="13" s="1"/>
  <c r="H144" i="13" s="1"/>
  <c r="I141" i="13"/>
  <c r="I142" i="13" s="1"/>
  <c r="I143" i="13" s="1"/>
  <c r="I144" i="13" s="1"/>
  <c r="J141" i="13"/>
  <c r="J142" i="13" s="1"/>
  <c r="J143" i="13" s="1"/>
  <c r="J144" i="13" s="1"/>
  <c r="K141" i="13"/>
  <c r="K142" i="13" s="1"/>
  <c r="K143" i="13" s="1"/>
  <c r="K144" i="13" s="1"/>
  <c r="L141" i="13"/>
  <c r="L142" i="13" s="1"/>
  <c r="L143" i="13" s="1"/>
  <c r="L144" i="13" s="1"/>
  <c r="M141" i="13"/>
  <c r="M142" i="13" s="1"/>
  <c r="M143" i="13" s="1"/>
  <c r="M144" i="13" s="1"/>
  <c r="N141" i="13"/>
  <c r="N142" i="13" s="1"/>
  <c r="N143" i="13" s="1"/>
  <c r="N144" i="13" s="1"/>
  <c r="O141" i="13"/>
  <c r="O142" i="13" s="1"/>
  <c r="O143" i="13" s="1"/>
  <c r="O144" i="13" s="1"/>
  <c r="P141" i="13"/>
  <c r="P142" i="13" s="1"/>
  <c r="P143" i="13" s="1"/>
  <c r="P144" i="13" s="1"/>
  <c r="Q141" i="13"/>
  <c r="Q142" i="13" s="1"/>
  <c r="Q143" i="13" s="1"/>
  <c r="Q144" i="13" s="1"/>
  <c r="D147" i="13"/>
  <c r="E147" i="13"/>
  <c r="F147" i="13"/>
  <c r="G147" i="13"/>
  <c r="H147" i="13"/>
  <c r="I147" i="13"/>
  <c r="J147" i="13"/>
  <c r="K147" i="13"/>
  <c r="L147" i="13"/>
  <c r="M147" i="13"/>
  <c r="N147" i="13"/>
  <c r="O147" i="13"/>
  <c r="P147" i="13"/>
  <c r="Q147" i="13"/>
  <c r="E148" i="13"/>
  <c r="D148" i="13" s="1"/>
  <c r="F148" i="13"/>
  <c r="G148" i="13"/>
  <c r="H148" i="13"/>
  <c r="I148" i="13"/>
  <c r="J148" i="13"/>
  <c r="K148" i="13"/>
  <c r="L148" i="13"/>
  <c r="M148" i="13"/>
  <c r="N148" i="13"/>
  <c r="O148" i="13"/>
  <c r="P148" i="13"/>
  <c r="Q148" i="13"/>
  <c r="E149" i="13"/>
  <c r="D149" i="13" s="1"/>
  <c r="F149" i="13"/>
  <c r="G149" i="13"/>
  <c r="H149" i="13"/>
  <c r="I149" i="13"/>
  <c r="J149" i="13"/>
  <c r="K149" i="13"/>
  <c r="L149" i="13"/>
  <c r="M149" i="13"/>
  <c r="N149" i="13"/>
  <c r="O149" i="13"/>
  <c r="P149" i="13"/>
  <c r="Q149" i="13"/>
  <c r="F150" i="13"/>
  <c r="G150" i="13"/>
  <c r="G151" i="13" s="1"/>
  <c r="G152" i="13" s="1"/>
  <c r="G153" i="13" s="1"/>
  <c r="H150" i="13"/>
  <c r="H151" i="13" s="1"/>
  <c r="H152" i="13" s="1"/>
  <c r="H153" i="13" s="1"/>
  <c r="I150" i="13"/>
  <c r="I151" i="13" s="1"/>
  <c r="I152" i="13" s="1"/>
  <c r="I153" i="13" s="1"/>
  <c r="J150" i="13"/>
  <c r="J151" i="13" s="1"/>
  <c r="J152" i="13" s="1"/>
  <c r="J153" i="13" s="1"/>
  <c r="K150" i="13"/>
  <c r="K151" i="13" s="1"/>
  <c r="K152" i="13" s="1"/>
  <c r="K153" i="13" s="1"/>
  <c r="L150" i="13"/>
  <c r="L151" i="13" s="1"/>
  <c r="L152" i="13" s="1"/>
  <c r="L153" i="13" s="1"/>
  <c r="M150" i="13"/>
  <c r="M151" i="13" s="1"/>
  <c r="M152" i="13" s="1"/>
  <c r="M153" i="13" s="1"/>
  <c r="N150" i="13"/>
  <c r="N151" i="13" s="1"/>
  <c r="N152" i="13" s="1"/>
  <c r="N153" i="13" s="1"/>
  <c r="O150" i="13"/>
  <c r="O151" i="13" s="1"/>
  <c r="O152" i="13" s="1"/>
  <c r="O153" i="13" s="1"/>
  <c r="P150" i="13"/>
  <c r="P151" i="13" s="1"/>
  <c r="P152" i="13" s="1"/>
  <c r="P153" i="13" s="1"/>
  <c r="Q150" i="13"/>
  <c r="Q151" i="13" s="1"/>
  <c r="Q152" i="13" s="1"/>
  <c r="Q153" i="13" s="1"/>
  <c r="D155" i="13"/>
  <c r="E155" i="13"/>
  <c r="F155" i="13"/>
  <c r="G155" i="13"/>
  <c r="H155" i="13"/>
  <c r="I155" i="13"/>
  <c r="J155" i="13"/>
  <c r="K155" i="13"/>
  <c r="L155" i="13"/>
  <c r="M155" i="13"/>
  <c r="N155" i="13"/>
  <c r="O155" i="13"/>
  <c r="P155" i="13"/>
  <c r="Q155" i="13"/>
  <c r="D156" i="13"/>
  <c r="E156" i="13"/>
  <c r="F156" i="13"/>
  <c r="G156" i="13"/>
  <c r="H156" i="13"/>
  <c r="I156" i="13"/>
  <c r="J156" i="13"/>
  <c r="K156" i="13"/>
  <c r="L156" i="13"/>
  <c r="M156" i="13"/>
  <c r="N156" i="13"/>
  <c r="O156" i="13"/>
  <c r="P156" i="13"/>
  <c r="Q156" i="13"/>
  <c r="D157" i="13"/>
  <c r="E157" i="13"/>
  <c r="F157" i="13"/>
  <c r="G157" i="13"/>
  <c r="H157" i="13"/>
  <c r="I157" i="13"/>
  <c r="J157" i="13"/>
  <c r="K157" i="13"/>
  <c r="L157" i="13"/>
  <c r="M157" i="13"/>
  <c r="N157" i="13"/>
  <c r="O157" i="13"/>
  <c r="P157" i="13"/>
  <c r="Q157" i="13"/>
  <c r="E158" i="13"/>
  <c r="F158" i="13"/>
  <c r="F159" i="13" s="1"/>
  <c r="F160" i="13" s="1"/>
  <c r="F161" i="13" s="1"/>
  <c r="G158" i="13"/>
  <c r="G159" i="13" s="1"/>
  <c r="G160" i="13" s="1"/>
  <c r="G161" i="13" s="1"/>
  <c r="H158" i="13"/>
  <c r="H159" i="13" s="1"/>
  <c r="H160" i="13" s="1"/>
  <c r="H161" i="13" s="1"/>
  <c r="I158" i="13"/>
  <c r="I159" i="13" s="1"/>
  <c r="I160" i="13" s="1"/>
  <c r="I161" i="13" s="1"/>
  <c r="J158" i="13"/>
  <c r="J159" i="13" s="1"/>
  <c r="J160" i="13" s="1"/>
  <c r="J161" i="13" s="1"/>
  <c r="K158" i="13"/>
  <c r="K159" i="13" s="1"/>
  <c r="K160" i="13" s="1"/>
  <c r="K161" i="13" s="1"/>
  <c r="L158" i="13"/>
  <c r="L159" i="13" s="1"/>
  <c r="L160" i="13" s="1"/>
  <c r="L161" i="13" s="1"/>
  <c r="M158" i="13"/>
  <c r="M159" i="13" s="1"/>
  <c r="M160" i="13" s="1"/>
  <c r="M161" i="13" s="1"/>
  <c r="N158" i="13"/>
  <c r="N159" i="13" s="1"/>
  <c r="N160" i="13" s="1"/>
  <c r="N161" i="13" s="1"/>
  <c r="O158" i="13"/>
  <c r="O159" i="13" s="1"/>
  <c r="O160" i="13" s="1"/>
  <c r="O161" i="13" s="1"/>
  <c r="P158" i="13"/>
  <c r="P159" i="13" s="1"/>
  <c r="P160" i="13" s="1"/>
  <c r="P161" i="13" s="1"/>
  <c r="Q158" i="13"/>
  <c r="Q159" i="13" s="1"/>
  <c r="Q160" i="13" s="1"/>
  <c r="Q161" i="13" s="1"/>
  <c r="D164" i="13"/>
  <c r="E164" i="13"/>
  <c r="F164" i="13"/>
  <c r="G164" i="13"/>
  <c r="H164" i="13"/>
  <c r="I164" i="13"/>
  <c r="J164" i="13"/>
  <c r="K164" i="13"/>
  <c r="L164" i="13"/>
  <c r="M164" i="13"/>
  <c r="N164" i="13"/>
  <c r="O164" i="13"/>
  <c r="P164" i="13"/>
  <c r="Q164" i="13"/>
  <c r="E165" i="13"/>
  <c r="D165" i="13" s="1"/>
  <c r="F165" i="13"/>
  <c r="G165" i="13"/>
  <c r="H165" i="13"/>
  <c r="I165" i="13"/>
  <c r="J165" i="13"/>
  <c r="K165" i="13"/>
  <c r="L165" i="13"/>
  <c r="M165" i="13"/>
  <c r="N165" i="13"/>
  <c r="O165" i="13"/>
  <c r="P165" i="13"/>
  <c r="Q165" i="13"/>
  <c r="E166" i="13"/>
  <c r="D166" i="13" s="1"/>
  <c r="F166" i="13"/>
  <c r="G166" i="13"/>
  <c r="H166" i="13"/>
  <c r="I166" i="13"/>
  <c r="J166" i="13"/>
  <c r="K166" i="13"/>
  <c r="L166" i="13"/>
  <c r="M166" i="13"/>
  <c r="N166" i="13"/>
  <c r="O166" i="13"/>
  <c r="P166" i="13"/>
  <c r="Q166" i="13"/>
  <c r="F167" i="13"/>
  <c r="G167" i="13"/>
  <c r="G168" i="13" s="1"/>
  <c r="G169" i="13" s="1"/>
  <c r="G170" i="13" s="1"/>
  <c r="H167" i="13"/>
  <c r="H168" i="13" s="1"/>
  <c r="H169" i="13" s="1"/>
  <c r="H170" i="13" s="1"/>
  <c r="I167" i="13"/>
  <c r="I168" i="13" s="1"/>
  <c r="I169" i="13" s="1"/>
  <c r="I170" i="13" s="1"/>
  <c r="J167" i="13"/>
  <c r="J168" i="13" s="1"/>
  <c r="J169" i="13" s="1"/>
  <c r="J170" i="13" s="1"/>
  <c r="K167" i="13"/>
  <c r="K168" i="13" s="1"/>
  <c r="K169" i="13" s="1"/>
  <c r="K170" i="13" s="1"/>
  <c r="L167" i="13"/>
  <c r="L168" i="13" s="1"/>
  <c r="L169" i="13" s="1"/>
  <c r="L170" i="13" s="1"/>
  <c r="M167" i="13"/>
  <c r="M168" i="13" s="1"/>
  <c r="M169" i="13" s="1"/>
  <c r="M170" i="13" s="1"/>
  <c r="N167" i="13"/>
  <c r="N168" i="13" s="1"/>
  <c r="N169" i="13" s="1"/>
  <c r="N170" i="13" s="1"/>
  <c r="O167" i="13"/>
  <c r="O168" i="13" s="1"/>
  <c r="O169" i="13" s="1"/>
  <c r="O170" i="13" s="1"/>
  <c r="P167" i="13"/>
  <c r="P168" i="13" s="1"/>
  <c r="P169" i="13" s="1"/>
  <c r="P170" i="13" s="1"/>
  <c r="Q167" i="13"/>
  <c r="Q168" i="13" s="1"/>
  <c r="Q169" i="13" s="1"/>
  <c r="Q170" i="13" s="1"/>
  <c r="D172" i="13"/>
  <c r="E172" i="13"/>
  <c r="F172" i="13"/>
  <c r="G172" i="13"/>
  <c r="H172" i="13"/>
  <c r="I172" i="13"/>
  <c r="J172" i="13"/>
  <c r="K172" i="13"/>
  <c r="L172" i="13"/>
  <c r="M172" i="13"/>
  <c r="N172" i="13"/>
  <c r="O172" i="13"/>
  <c r="P172" i="13"/>
  <c r="Q172" i="13"/>
  <c r="D173" i="13"/>
  <c r="E173" i="13"/>
  <c r="F173" i="13"/>
  <c r="G173" i="13"/>
  <c r="H173" i="13"/>
  <c r="I173" i="13"/>
  <c r="J173" i="13"/>
  <c r="K173" i="13"/>
  <c r="L173" i="13"/>
  <c r="M173" i="13"/>
  <c r="N173" i="13"/>
  <c r="O173" i="13"/>
  <c r="P173" i="13"/>
  <c r="Q173" i="13"/>
  <c r="D174" i="13"/>
  <c r="E174" i="13"/>
  <c r="F174" i="13"/>
  <c r="G174" i="13"/>
  <c r="H174" i="13"/>
  <c r="I174" i="13"/>
  <c r="J174" i="13"/>
  <c r="K174" i="13"/>
  <c r="L174" i="13"/>
  <c r="M174" i="13"/>
  <c r="N174" i="13"/>
  <c r="O174" i="13"/>
  <c r="P174" i="13"/>
  <c r="Q174" i="13"/>
  <c r="E175" i="13"/>
  <c r="F175" i="13"/>
  <c r="F176" i="13" s="1"/>
  <c r="F177" i="13" s="1"/>
  <c r="F178" i="13" s="1"/>
  <c r="G175" i="13"/>
  <c r="G176" i="13" s="1"/>
  <c r="G177" i="13" s="1"/>
  <c r="G178" i="13" s="1"/>
  <c r="H175" i="13"/>
  <c r="H176" i="13" s="1"/>
  <c r="H177" i="13" s="1"/>
  <c r="H178" i="13" s="1"/>
  <c r="I175" i="13"/>
  <c r="I176" i="13" s="1"/>
  <c r="I177" i="13" s="1"/>
  <c r="I178" i="13" s="1"/>
  <c r="J175" i="13"/>
  <c r="J176" i="13" s="1"/>
  <c r="J177" i="13" s="1"/>
  <c r="J178" i="13" s="1"/>
  <c r="K175" i="13"/>
  <c r="K176" i="13" s="1"/>
  <c r="K177" i="13" s="1"/>
  <c r="K178" i="13" s="1"/>
  <c r="L175" i="13"/>
  <c r="L176" i="13" s="1"/>
  <c r="L177" i="13" s="1"/>
  <c r="L178" i="13" s="1"/>
  <c r="M175" i="13"/>
  <c r="M176" i="13" s="1"/>
  <c r="M177" i="13" s="1"/>
  <c r="M178" i="13" s="1"/>
  <c r="N175" i="13"/>
  <c r="N176" i="13" s="1"/>
  <c r="N177" i="13" s="1"/>
  <c r="N178" i="13" s="1"/>
  <c r="O175" i="13"/>
  <c r="O176" i="13" s="1"/>
  <c r="O177" i="13" s="1"/>
  <c r="O178" i="13" s="1"/>
  <c r="P175" i="13"/>
  <c r="P176" i="13" s="1"/>
  <c r="P177" i="13" s="1"/>
  <c r="P178" i="13" s="1"/>
  <c r="Q175" i="13"/>
  <c r="Q176" i="13" s="1"/>
  <c r="Q177" i="13" s="1"/>
  <c r="Q178" i="13" s="1"/>
  <c r="D181" i="13"/>
  <c r="E181" i="13"/>
  <c r="F181" i="13"/>
  <c r="G181" i="13"/>
  <c r="H181" i="13"/>
  <c r="I181" i="13"/>
  <c r="J181" i="13"/>
  <c r="K181" i="13"/>
  <c r="L181" i="13"/>
  <c r="M181" i="13"/>
  <c r="N181" i="13"/>
  <c r="O181" i="13"/>
  <c r="P181" i="13"/>
  <c r="Q181" i="13"/>
  <c r="E182" i="13"/>
  <c r="D182" i="13" s="1"/>
  <c r="F182" i="13"/>
  <c r="G182" i="13"/>
  <c r="H182" i="13"/>
  <c r="I182" i="13"/>
  <c r="J182" i="13"/>
  <c r="K182" i="13"/>
  <c r="L182" i="13"/>
  <c r="M182" i="13"/>
  <c r="N182" i="13"/>
  <c r="O182" i="13"/>
  <c r="P182" i="13"/>
  <c r="Q182" i="13"/>
  <c r="E183" i="13"/>
  <c r="D183" i="13" s="1"/>
  <c r="F183" i="13"/>
  <c r="G183" i="13"/>
  <c r="H183" i="13"/>
  <c r="I183" i="13"/>
  <c r="J183" i="13"/>
  <c r="K183" i="13"/>
  <c r="L183" i="13"/>
  <c r="M183" i="13"/>
  <c r="N183" i="13"/>
  <c r="O183" i="13"/>
  <c r="P183" i="13"/>
  <c r="Q183" i="13"/>
  <c r="F184" i="13"/>
  <c r="G184" i="13"/>
  <c r="G185" i="13" s="1"/>
  <c r="G186" i="13" s="1"/>
  <c r="G187" i="13" s="1"/>
  <c r="H184" i="13"/>
  <c r="H185" i="13" s="1"/>
  <c r="H186" i="13" s="1"/>
  <c r="H187" i="13" s="1"/>
  <c r="I184" i="13"/>
  <c r="I185" i="13" s="1"/>
  <c r="I186" i="13" s="1"/>
  <c r="I187" i="13" s="1"/>
  <c r="J184" i="13"/>
  <c r="J185" i="13" s="1"/>
  <c r="J186" i="13" s="1"/>
  <c r="J187" i="13" s="1"/>
  <c r="K184" i="13"/>
  <c r="K185" i="13" s="1"/>
  <c r="K186" i="13" s="1"/>
  <c r="K187" i="13" s="1"/>
  <c r="L184" i="13"/>
  <c r="L185" i="13" s="1"/>
  <c r="L186" i="13" s="1"/>
  <c r="L187" i="13" s="1"/>
  <c r="M184" i="13"/>
  <c r="M185" i="13" s="1"/>
  <c r="M186" i="13" s="1"/>
  <c r="M187" i="13" s="1"/>
  <c r="N184" i="13"/>
  <c r="N185" i="13" s="1"/>
  <c r="N186" i="13" s="1"/>
  <c r="N187" i="13" s="1"/>
  <c r="O184" i="13"/>
  <c r="O185" i="13" s="1"/>
  <c r="O186" i="13" s="1"/>
  <c r="O187" i="13" s="1"/>
  <c r="P184" i="13"/>
  <c r="P185" i="13" s="1"/>
  <c r="P186" i="13" s="1"/>
  <c r="P187" i="13" s="1"/>
  <c r="Q184" i="13"/>
  <c r="Q185" i="13" s="1"/>
  <c r="Q186" i="13" s="1"/>
  <c r="Q187" i="13" s="1"/>
  <c r="D189" i="13"/>
  <c r="E189" i="13"/>
  <c r="F189" i="13"/>
  <c r="G189" i="13"/>
  <c r="H189" i="13"/>
  <c r="I189" i="13"/>
  <c r="J189" i="13"/>
  <c r="K189" i="13"/>
  <c r="L189" i="13"/>
  <c r="M189" i="13"/>
  <c r="N189" i="13"/>
  <c r="O189" i="13"/>
  <c r="P189" i="13"/>
  <c r="Q189" i="13"/>
  <c r="D190" i="13"/>
  <c r="E190" i="13"/>
  <c r="F190" i="13"/>
  <c r="G190" i="13"/>
  <c r="H190" i="13"/>
  <c r="I190" i="13"/>
  <c r="J190" i="13"/>
  <c r="K190" i="13"/>
  <c r="L190" i="13"/>
  <c r="M190" i="13"/>
  <c r="N190" i="13"/>
  <c r="O190" i="13"/>
  <c r="P190" i="13"/>
  <c r="Q190" i="13"/>
  <c r="D191" i="13"/>
  <c r="E191" i="13"/>
  <c r="F191" i="13"/>
  <c r="G191" i="13"/>
  <c r="H191" i="13"/>
  <c r="I191" i="13"/>
  <c r="J191" i="13"/>
  <c r="K191" i="13"/>
  <c r="L191" i="13"/>
  <c r="M191" i="13"/>
  <c r="N191" i="13"/>
  <c r="O191" i="13"/>
  <c r="P191" i="13"/>
  <c r="Q191" i="13"/>
  <c r="E192" i="13"/>
  <c r="F192" i="13"/>
  <c r="F193" i="13" s="1"/>
  <c r="G192" i="13"/>
  <c r="G193" i="13" s="1"/>
  <c r="H192" i="13"/>
  <c r="H193" i="13" s="1"/>
  <c r="I192" i="13"/>
  <c r="I193" i="13" s="1"/>
  <c r="J192" i="13"/>
  <c r="J193" i="13" s="1"/>
  <c r="K192" i="13"/>
  <c r="K193" i="13" s="1"/>
  <c r="L192" i="13"/>
  <c r="L193" i="13" s="1"/>
  <c r="M192" i="13"/>
  <c r="M193" i="13" s="1"/>
  <c r="N192" i="13"/>
  <c r="N193" i="13" s="1"/>
  <c r="O192" i="13"/>
  <c r="O193" i="13" s="1"/>
  <c r="P192" i="13"/>
  <c r="P193" i="13" s="1"/>
  <c r="Q192" i="13"/>
  <c r="Q193" i="13" s="1"/>
  <c r="D198" i="13"/>
  <c r="E198" i="13"/>
  <c r="F198" i="13"/>
  <c r="G198" i="13"/>
  <c r="H198" i="13"/>
  <c r="I198" i="13"/>
  <c r="J198" i="13"/>
  <c r="K198" i="13"/>
  <c r="L198" i="13"/>
  <c r="M198" i="13"/>
  <c r="N198" i="13"/>
  <c r="O198" i="13"/>
  <c r="P198" i="13"/>
  <c r="Q198" i="13"/>
  <c r="E199" i="13"/>
  <c r="D199" i="13" s="1"/>
  <c r="F199" i="13"/>
  <c r="G199" i="13"/>
  <c r="H199" i="13"/>
  <c r="I199" i="13"/>
  <c r="J199" i="13"/>
  <c r="K199" i="13"/>
  <c r="L199" i="13"/>
  <c r="M199" i="13"/>
  <c r="N199" i="13"/>
  <c r="O199" i="13"/>
  <c r="P199" i="13"/>
  <c r="Q199" i="13"/>
  <c r="E200" i="13"/>
  <c r="D200" i="13" s="1"/>
  <c r="F200" i="13"/>
  <c r="G200" i="13"/>
  <c r="H200" i="13"/>
  <c r="I200" i="13"/>
  <c r="J200" i="13"/>
  <c r="K200" i="13"/>
  <c r="L200" i="13"/>
  <c r="M200" i="13"/>
  <c r="N200" i="13"/>
  <c r="O200" i="13"/>
  <c r="P200" i="13"/>
  <c r="Q200" i="13"/>
  <c r="F201" i="13"/>
  <c r="G201" i="13"/>
  <c r="G202" i="13" s="1"/>
  <c r="G203" i="13" s="1"/>
  <c r="G204" i="13" s="1"/>
  <c r="H201" i="13"/>
  <c r="H202" i="13" s="1"/>
  <c r="H203" i="13" s="1"/>
  <c r="H204" i="13" s="1"/>
  <c r="I201" i="13"/>
  <c r="I202" i="13" s="1"/>
  <c r="I203" i="13" s="1"/>
  <c r="I204" i="13" s="1"/>
  <c r="J201" i="13"/>
  <c r="J202" i="13" s="1"/>
  <c r="J203" i="13" s="1"/>
  <c r="J204" i="13" s="1"/>
  <c r="K201" i="13"/>
  <c r="K202" i="13" s="1"/>
  <c r="K203" i="13" s="1"/>
  <c r="K204" i="13" s="1"/>
  <c r="L201" i="13"/>
  <c r="L202" i="13" s="1"/>
  <c r="L203" i="13" s="1"/>
  <c r="L204" i="13" s="1"/>
  <c r="M201" i="13"/>
  <c r="M202" i="13" s="1"/>
  <c r="M203" i="13" s="1"/>
  <c r="M204" i="13" s="1"/>
  <c r="N201" i="13"/>
  <c r="N202" i="13" s="1"/>
  <c r="N203" i="13" s="1"/>
  <c r="N204" i="13" s="1"/>
  <c r="O201" i="13"/>
  <c r="O202" i="13" s="1"/>
  <c r="O203" i="13" s="1"/>
  <c r="O204" i="13" s="1"/>
  <c r="P201" i="13"/>
  <c r="P202" i="13" s="1"/>
  <c r="P203" i="13" s="1"/>
  <c r="P204" i="13" s="1"/>
  <c r="Q201" i="13"/>
  <c r="Q202" i="13" s="1"/>
  <c r="Q203" i="13" s="1"/>
  <c r="Q204" i="13" s="1"/>
  <c r="D206" i="13"/>
  <c r="E206" i="13"/>
  <c r="F206" i="13"/>
  <c r="G206" i="13"/>
  <c r="H206" i="13"/>
  <c r="I206" i="13"/>
  <c r="J206" i="13"/>
  <c r="K206" i="13"/>
  <c r="L206" i="13"/>
  <c r="M206" i="13"/>
  <c r="N206" i="13"/>
  <c r="O206" i="13"/>
  <c r="P206" i="13"/>
  <c r="Q206" i="13"/>
  <c r="D207" i="13"/>
  <c r="E207" i="13"/>
  <c r="F207" i="13"/>
  <c r="G207" i="13"/>
  <c r="H207" i="13"/>
  <c r="I207" i="13"/>
  <c r="J207" i="13"/>
  <c r="K207" i="13"/>
  <c r="L207" i="13"/>
  <c r="M207" i="13"/>
  <c r="N207" i="13"/>
  <c r="O207" i="13"/>
  <c r="P207" i="13"/>
  <c r="Q207" i="13"/>
  <c r="D208" i="13"/>
  <c r="E208" i="13"/>
  <c r="F208" i="13"/>
  <c r="G208" i="13"/>
  <c r="H208" i="13"/>
  <c r="I208" i="13"/>
  <c r="J208" i="13"/>
  <c r="K208" i="13"/>
  <c r="L208" i="13"/>
  <c r="M208" i="13"/>
  <c r="N208" i="13"/>
  <c r="O208" i="13"/>
  <c r="P208" i="13"/>
  <c r="Q208" i="13"/>
  <c r="E209" i="13"/>
  <c r="F209" i="13"/>
  <c r="F210" i="13" s="1"/>
  <c r="F211" i="13" s="1"/>
  <c r="F212" i="13" s="1"/>
  <c r="G209" i="13"/>
  <c r="G210" i="13" s="1"/>
  <c r="G211" i="13" s="1"/>
  <c r="G212" i="13" s="1"/>
  <c r="H209" i="13"/>
  <c r="H210" i="13" s="1"/>
  <c r="H211" i="13" s="1"/>
  <c r="H212" i="13" s="1"/>
  <c r="I209" i="13"/>
  <c r="I210" i="13" s="1"/>
  <c r="I211" i="13" s="1"/>
  <c r="I212" i="13" s="1"/>
  <c r="J209" i="13"/>
  <c r="J210" i="13" s="1"/>
  <c r="J211" i="13" s="1"/>
  <c r="J212" i="13" s="1"/>
  <c r="K209" i="13"/>
  <c r="K210" i="13" s="1"/>
  <c r="K211" i="13" s="1"/>
  <c r="K212" i="13" s="1"/>
  <c r="L209" i="13"/>
  <c r="L210" i="13" s="1"/>
  <c r="L211" i="13" s="1"/>
  <c r="L212" i="13" s="1"/>
  <c r="M209" i="13"/>
  <c r="M210" i="13" s="1"/>
  <c r="M211" i="13" s="1"/>
  <c r="M212" i="13" s="1"/>
  <c r="N209" i="13"/>
  <c r="N210" i="13" s="1"/>
  <c r="N211" i="13" s="1"/>
  <c r="N212" i="13" s="1"/>
  <c r="O209" i="13"/>
  <c r="O210" i="13" s="1"/>
  <c r="O211" i="13" s="1"/>
  <c r="O212" i="13" s="1"/>
  <c r="P209" i="13"/>
  <c r="P210" i="13" s="1"/>
  <c r="P211" i="13" s="1"/>
  <c r="P212" i="13" s="1"/>
  <c r="Q209" i="13"/>
  <c r="Q210" i="13" s="1"/>
  <c r="Q211" i="13" s="1"/>
  <c r="Q212" i="13" s="1"/>
  <c r="D215" i="13"/>
  <c r="E215" i="13"/>
  <c r="F215" i="13"/>
  <c r="G215" i="13"/>
  <c r="H215" i="13"/>
  <c r="I215" i="13"/>
  <c r="J215" i="13"/>
  <c r="K215" i="13"/>
  <c r="L215" i="13"/>
  <c r="M215" i="13"/>
  <c r="N215" i="13"/>
  <c r="O215" i="13"/>
  <c r="P215" i="13"/>
  <c r="Q215" i="13"/>
  <c r="E216" i="13"/>
  <c r="D216" i="13" s="1"/>
  <c r="F216" i="13"/>
  <c r="G216" i="13"/>
  <c r="H216" i="13"/>
  <c r="I216" i="13"/>
  <c r="J216" i="13"/>
  <c r="K216" i="13"/>
  <c r="L216" i="13"/>
  <c r="M216" i="13"/>
  <c r="N216" i="13"/>
  <c r="O216" i="13"/>
  <c r="P216" i="13"/>
  <c r="Q216" i="13"/>
  <c r="E217" i="13"/>
  <c r="D217" i="13" s="1"/>
  <c r="F217" i="13"/>
  <c r="G217" i="13"/>
  <c r="H217" i="13"/>
  <c r="I217" i="13"/>
  <c r="J217" i="13"/>
  <c r="K217" i="13"/>
  <c r="L217" i="13"/>
  <c r="M217" i="13"/>
  <c r="N217" i="13"/>
  <c r="O217" i="13"/>
  <c r="P217" i="13"/>
  <c r="Q217" i="13"/>
  <c r="F218" i="13"/>
  <c r="G218" i="13"/>
  <c r="G219" i="13" s="1"/>
  <c r="G220" i="13" s="1"/>
  <c r="G221" i="13" s="1"/>
  <c r="H218" i="13"/>
  <c r="H219" i="13" s="1"/>
  <c r="H220" i="13" s="1"/>
  <c r="H221" i="13" s="1"/>
  <c r="I218" i="13"/>
  <c r="I219" i="13" s="1"/>
  <c r="I220" i="13" s="1"/>
  <c r="I221" i="13" s="1"/>
  <c r="J218" i="13"/>
  <c r="J219" i="13" s="1"/>
  <c r="J220" i="13" s="1"/>
  <c r="J221" i="13" s="1"/>
  <c r="K218" i="13"/>
  <c r="K219" i="13" s="1"/>
  <c r="K220" i="13" s="1"/>
  <c r="K221" i="13" s="1"/>
  <c r="L218" i="13"/>
  <c r="L219" i="13" s="1"/>
  <c r="L220" i="13" s="1"/>
  <c r="L221" i="13" s="1"/>
  <c r="M218" i="13"/>
  <c r="M219" i="13" s="1"/>
  <c r="M220" i="13" s="1"/>
  <c r="M221" i="13" s="1"/>
  <c r="N218" i="13"/>
  <c r="N219" i="13" s="1"/>
  <c r="N220" i="13" s="1"/>
  <c r="N221" i="13" s="1"/>
  <c r="O218" i="13"/>
  <c r="O219" i="13" s="1"/>
  <c r="O220" i="13" s="1"/>
  <c r="O221" i="13" s="1"/>
  <c r="P218" i="13"/>
  <c r="P219" i="13" s="1"/>
  <c r="P220" i="13" s="1"/>
  <c r="P221" i="13" s="1"/>
  <c r="Q218" i="13"/>
  <c r="Q219" i="13" s="1"/>
  <c r="Q220" i="13" s="1"/>
  <c r="Q221" i="13" s="1"/>
  <c r="D223" i="13"/>
  <c r="E223" i="13"/>
  <c r="F223" i="13"/>
  <c r="G223" i="13"/>
  <c r="H223" i="13"/>
  <c r="I223" i="13"/>
  <c r="J223" i="13"/>
  <c r="K223" i="13"/>
  <c r="L223" i="13"/>
  <c r="M223" i="13"/>
  <c r="N223" i="13"/>
  <c r="O223" i="13"/>
  <c r="P223" i="13"/>
  <c r="Q223" i="13"/>
  <c r="D224" i="13"/>
  <c r="E224" i="13"/>
  <c r="F224" i="13"/>
  <c r="G224" i="13"/>
  <c r="H224" i="13"/>
  <c r="I224" i="13"/>
  <c r="J224" i="13"/>
  <c r="K224" i="13"/>
  <c r="L224" i="13"/>
  <c r="M224" i="13"/>
  <c r="N224" i="13"/>
  <c r="O224" i="13"/>
  <c r="P224" i="13"/>
  <c r="Q224" i="13"/>
  <c r="D225" i="13"/>
  <c r="E225" i="13"/>
  <c r="F225" i="13"/>
  <c r="G225" i="13"/>
  <c r="H225" i="13"/>
  <c r="I225" i="13"/>
  <c r="J225" i="13"/>
  <c r="K225" i="13"/>
  <c r="L225" i="13"/>
  <c r="M225" i="13"/>
  <c r="N225" i="13"/>
  <c r="O225" i="13"/>
  <c r="P225" i="13"/>
  <c r="Q225" i="13"/>
  <c r="E226" i="13"/>
  <c r="F226" i="13"/>
  <c r="F227" i="13" s="1"/>
  <c r="F228" i="13" s="1"/>
  <c r="F229" i="13" s="1"/>
  <c r="G226" i="13"/>
  <c r="G227" i="13" s="1"/>
  <c r="G228" i="13" s="1"/>
  <c r="G229" i="13" s="1"/>
  <c r="H226" i="13"/>
  <c r="H227" i="13" s="1"/>
  <c r="H228" i="13" s="1"/>
  <c r="H229" i="13" s="1"/>
  <c r="I226" i="13"/>
  <c r="I227" i="13" s="1"/>
  <c r="I228" i="13" s="1"/>
  <c r="I229" i="13" s="1"/>
  <c r="J226" i="13"/>
  <c r="J227" i="13" s="1"/>
  <c r="J228" i="13" s="1"/>
  <c r="J229" i="13" s="1"/>
  <c r="K226" i="13"/>
  <c r="K227" i="13" s="1"/>
  <c r="K228" i="13" s="1"/>
  <c r="K229" i="13" s="1"/>
  <c r="L226" i="13"/>
  <c r="L227" i="13" s="1"/>
  <c r="L228" i="13" s="1"/>
  <c r="L229" i="13" s="1"/>
  <c r="M226" i="13"/>
  <c r="M227" i="13" s="1"/>
  <c r="M228" i="13" s="1"/>
  <c r="M229" i="13" s="1"/>
  <c r="N226" i="13"/>
  <c r="N227" i="13" s="1"/>
  <c r="N228" i="13" s="1"/>
  <c r="N229" i="13" s="1"/>
  <c r="O226" i="13"/>
  <c r="O227" i="13" s="1"/>
  <c r="O228" i="13" s="1"/>
  <c r="O229" i="13" s="1"/>
  <c r="P226" i="13"/>
  <c r="P227" i="13" s="1"/>
  <c r="P228" i="13" s="1"/>
  <c r="P229" i="13" s="1"/>
  <c r="Q226" i="13"/>
  <c r="Q227" i="13" s="1"/>
  <c r="Q228" i="13" s="1"/>
  <c r="Q229" i="13" s="1"/>
  <c r="D232" i="13"/>
  <c r="E232" i="13"/>
  <c r="F232" i="13"/>
  <c r="G232" i="13"/>
  <c r="H232" i="13"/>
  <c r="I232" i="13"/>
  <c r="J232" i="13"/>
  <c r="K232" i="13"/>
  <c r="L232" i="13"/>
  <c r="M232" i="13"/>
  <c r="N232" i="13"/>
  <c r="O232" i="13"/>
  <c r="P232" i="13"/>
  <c r="Q232" i="13"/>
  <c r="E233" i="13"/>
  <c r="D233" i="13" s="1"/>
  <c r="F233" i="13"/>
  <c r="G233" i="13"/>
  <c r="H233" i="13"/>
  <c r="I233" i="13"/>
  <c r="J233" i="13"/>
  <c r="K233" i="13"/>
  <c r="L233" i="13"/>
  <c r="M233" i="13"/>
  <c r="N233" i="13"/>
  <c r="O233" i="13"/>
  <c r="P233" i="13"/>
  <c r="Q233" i="13"/>
  <c r="E234" i="13"/>
  <c r="D234" i="13" s="1"/>
  <c r="F234" i="13"/>
  <c r="G234" i="13"/>
  <c r="H234" i="13"/>
  <c r="I234" i="13"/>
  <c r="J234" i="13"/>
  <c r="K234" i="13"/>
  <c r="L234" i="13"/>
  <c r="M234" i="13"/>
  <c r="N234" i="13"/>
  <c r="O234" i="13"/>
  <c r="P234" i="13"/>
  <c r="Q234" i="13"/>
  <c r="F235" i="13"/>
  <c r="G235" i="13"/>
  <c r="G236" i="13" s="1"/>
  <c r="G237" i="13" s="1"/>
  <c r="G238" i="13" s="1"/>
  <c r="H235" i="13"/>
  <c r="H236" i="13" s="1"/>
  <c r="H237" i="13" s="1"/>
  <c r="H238" i="13" s="1"/>
  <c r="I235" i="13"/>
  <c r="I236" i="13" s="1"/>
  <c r="I237" i="13" s="1"/>
  <c r="I238" i="13" s="1"/>
  <c r="J235" i="13"/>
  <c r="J236" i="13" s="1"/>
  <c r="J237" i="13" s="1"/>
  <c r="J238" i="13" s="1"/>
  <c r="K235" i="13"/>
  <c r="K236" i="13" s="1"/>
  <c r="K237" i="13" s="1"/>
  <c r="K238" i="13" s="1"/>
  <c r="L235" i="13"/>
  <c r="L236" i="13" s="1"/>
  <c r="L237" i="13" s="1"/>
  <c r="L238" i="13" s="1"/>
  <c r="M235" i="13"/>
  <c r="M236" i="13" s="1"/>
  <c r="M237" i="13" s="1"/>
  <c r="M238" i="13" s="1"/>
  <c r="N235" i="13"/>
  <c r="N236" i="13" s="1"/>
  <c r="N237" i="13" s="1"/>
  <c r="N238" i="13" s="1"/>
  <c r="O235" i="13"/>
  <c r="O236" i="13" s="1"/>
  <c r="O237" i="13" s="1"/>
  <c r="O238" i="13" s="1"/>
  <c r="P235" i="13"/>
  <c r="P236" i="13" s="1"/>
  <c r="P237" i="13" s="1"/>
  <c r="P238" i="13" s="1"/>
  <c r="Q235" i="13"/>
  <c r="Q236" i="13" s="1"/>
  <c r="Q237" i="13" s="1"/>
  <c r="Q238" i="13" s="1"/>
  <c r="D240" i="13"/>
  <c r="E240" i="13"/>
  <c r="F240" i="13"/>
  <c r="G240" i="13"/>
  <c r="H240" i="13"/>
  <c r="I240" i="13"/>
  <c r="J240" i="13"/>
  <c r="K240" i="13"/>
  <c r="L240" i="13"/>
  <c r="M240" i="13"/>
  <c r="N240" i="13"/>
  <c r="O240" i="13"/>
  <c r="P240" i="13"/>
  <c r="Q240" i="13"/>
  <c r="D241" i="13"/>
  <c r="E241" i="13"/>
  <c r="F241" i="13"/>
  <c r="G241" i="13"/>
  <c r="H241" i="13"/>
  <c r="I241" i="13"/>
  <c r="J241" i="13"/>
  <c r="K241" i="13"/>
  <c r="L241" i="13"/>
  <c r="M241" i="13"/>
  <c r="N241" i="13"/>
  <c r="O241" i="13"/>
  <c r="P241" i="13"/>
  <c r="Q241" i="13"/>
  <c r="D242" i="13"/>
  <c r="E242" i="13"/>
  <c r="F242" i="13"/>
  <c r="G242" i="13"/>
  <c r="H242" i="13"/>
  <c r="I242" i="13"/>
  <c r="J242" i="13"/>
  <c r="K242" i="13"/>
  <c r="L242" i="13"/>
  <c r="M242" i="13"/>
  <c r="N242" i="13"/>
  <c r="O242" i="13"/>
  <c r="P242" i="13"/>
  <c r="Q242" i="13"/>
  <c r="E243" i="13"/>
  <c r="F243" i="13"/>
  <c r="F244" i="13" s="1"/>
  <c r="F245" i="13" s="1"/>
  <c r="F246" i="13" s="1"/>
  <c r="G243" i="13"/>
  <c r="G244" i="13" s="1"/>
  <c r="G245" i="13" s="1"/>
  <c r="G246" i="13" s="1"/>
  <c r="H243" i="13"/>
  <c r="H244" i="13" s="1"/>
  <c r="H245" i="13" s="1"/>
  <c r="H246" i="13" s="1"/>
  <c r="I243" i="13"/>
  <c r="I244" i="13" s="1"/>
  <c r="I245" i="13" s="1"/>
  <c r="I246" i="13" s="1"/>
  <c r="J243" i="13"/>
  <c r="J244" i="13" s="1"/>
  <c r="J245" i="13" s="1"/>
  <c r="J246" i="13" s="1"/>
  <c r="K243" i="13"/>
  <c r="K244" i="13" s="1"/>
  <c r="K245" i="13" s="1"/>
  <c r="K246" i="13" s="1"/>
  <c r="L243" i="13"/>
  <c r="L244" i="13" s="1"/>
  <c r="L245" i="13" s="1"/>
  <c r="L246" i="13" s="1"/>
  <c r="M243" i="13"/>
  <c r="M244" i="13" s="1"/>
  <c r="M245" i="13" s="1"/>
  <c r="M246" i="13" s="1"/>
  <c r="N243" i="13"/>
  <c r="N244" i="13" s="1"/>
  <c r="N245" i="13" s="1"/>
  <c r="N246" i="13" s="1"/>
  <c r="O243" i="13"/>
  <c r="O244" i="13" s="1"/>
  <c r="O245" i="13" s="1"/>
  <c r="O246" i="13" s="1"/>
  <c r="P243" i="13"/>
  <c r="P244" i="13" s="1"/>
  <c r="P245" i="13" s="1"/>
  <c r="P246" i="13" s="1"/>
  <c r="Q243" i="13"/>
  <c r="Q244" i="13" s="1"/>
  <c r="Q245" i="13" s="1"/>
  <c r="Q246" i="13" s="1"/>
  <c r="E10" i="13"/>
  <c r="F10" i="13"/>
  <c r="G10" i="13"/>
  <c r="H10" i="13"/>
  <c r="I10" i="13"/>
  <c r="J10" i="13"/>
  <c r="K10" i="13"/>
  <c r="L10" i="13"/>
  <c r="M10" i="13"/>
  <c r="N10" i="13"/>
  <c r="O10" i="13"/>
  <c r="P10" i="13"/>
  <c r="Q10" i="13"/>
  <c r="C11" i="13"/>
  <c r="C12" i="13"/>
  <c r="C13" i="13"/>
  <c r="C18" i="13"/>
  <c r="C19" i="13"/>
  <c r="C20" i="13"/>
  <c r="C21" i="13"/>
  <c r="C10" i="13"/>
  <c r="H251" i="17" l="1"/>
  <c r="D201" i="13"/>
  <c r="D202" i="13" s="1"/>
  <c r="D203" i="13" s="1"/>
  <c r="D204" i="13" s="1"/>
  <c r="F202" i="13"/>
  <c r="F203" i="13" s="1"/>
  <c r="F204" i="13" s="1"/>
  <c r="D65" i="13"/>
  <c r="D66" i="13" s="1"/>
  <c r="D67" i="13" s="1"/>
  <c r="D68" i="13" s="1"/>
  <c r="F66" i="13"/>
  <c r="F67" i="13" s="1"/>
  <c r="F68" i="13" s="1"/>
  <c r="D38" i="13"/>
  <c r="D39" i="13" s="1"/>
  <c r="D40" i="13" s="1"/>
  <c r="D41" i="13" s="1"/>
  <c r="E39" i="13"/>
  <c r="E40" i="13" s="1"/>
  <c r="E41" i="13" s="1"/>
  <c r="D150" i="13"/>
  <c r="D151" i="13" s="1"/>
  <c r="D152" i="13" s="1"/>
  <c r="D153" i="13" s="1"/>
  <c r="F151" i="13"/>
  <c r="F152" i="13" s="1"/>
  <c r="F153" i="13" s="1"/>
  <c r="D124" i="13"/>
  <c r="D125" i="13" s="1"/>
  <c r="D126" i="13" s="1"/>
  <c r="D127" i="13" s="1"/>
  <c r="E125" i="13"/>
  <c r="E126" i="13" s="1"/>
  <c r="E127" i="13" s="1"/>
  <c r="D13" i="13"/>
  <c r="D14" i="13" s="1"/>
  <c r="D15" i="13" s="1"/>
  <c r="D16" i="13" s="1"/>
  <c r="F14" i="13"/>
  <c r="F15" i="13" s="1"/>
  <c r="F16" i="13" s="1"/>
  <c r="D175" i="13"/>
  <c r="D176" i="13" s="1"/>
  <c r="D177" i="13" s="1"/>
  <c r="D178" i="13" s="1"/>
  <c r="E176" i="13"/>
  <c r="E177" i="13" s="1"/>
  <c r="E178" i="13" s="1"/>
  <c r="D235" i="13"/>
  <c r="D236" i="13" s="1"/>
  <c r="D237" i="13" s="1"/>
  <c r="D238" i="13" s="1"/>
  <c r="F236" i="13"/>
  <c r="F237" i="13" s="1"/>
  <c r="F238" i="13" s="1"/>
  <c r="D209" i="13"/>
  <c r="D210" i="13" s="1"/>
  <c r="D211" i="13" s="1"/>
  <c r="D212" i="13" s="1"/>
  <c r="E210" i="13"/>
  <c r="E211" i="13" s="1"/>
  <c r="E212" i="13" s="1"/>
  <c r="D99" i="13"/>
  <c r="D100" i="13" s="1"/>
  <c r="D101" i="13" s="1"/>
  <c r="D102" i="13" s="1"/>
  <c r="F100" i="13"/>
  <c r="F101" i="13" s="1"/>
  <c r="F102" i="13" s="1"/>
  <c r="D73" i="13"/>
  <c r="D74" i="13" s="1"/>
  <c r="D75" i="13" s="1"/>
  <c r="D76" i="13" s="1"/>
  <c r="E74" i="13"/>
  <c r="E75" i="13" s="1"/>
  <c r="E76" i="13" s="1"/>
  <c r="E184" i="13"/>
  <c r="E185" i="13" s="1"/>
  <c r="E186" i="13" s="1"/>
  <c r="E187" i="13" s="1"/>
  <c r="F185" i="13"/>
  <c r="F186" i="13" s="1"/>
  <c r="F187" i="13" s="1"/>
  <c r="D158" i="13"/>
  <c r="D159" i="13" s="1"/>
  <c r="D160" i="13" s="1"/>
  <c r="D161" i="13" s="1"/>
  <c r="E159" i="13"/>
  <c r="E160" i="13" s="1"/>
  <c r="E161" i="13" s="1"/>
  <c r="E48" i="13"/>
  <c r="E49" i="13" s="1"/>
  <c r="E50" i="13" s="1"/>
  <c r="E51" i="13" s="1"/>
  <c r="F49" i="13"/>
  <c r="F50" i="13" s="1"/>
  <c r="F51" i="13" s="1"/>
  <c r="D243" i="13"/>
  <c r="D244" i="13" s="1"/>
  <c r="D245" i="13" s="1"/>
  <c r="D246" i="13" s="1"/>
  <c r="E244" i="13"/>
  <c r="E245" i="13" s="1"/>
  <c r="E246" i="13" s="1"/>
  <c r="D133" i="13"/>
  <c r="D134" i="13" s="1"/>
  <c r="D135" i="13" s="1"/>
  <c r="D136" i="13" s="1"/>
  <c r="F134" i="13"/>
  <c r="F135" i="13" s="1"/>
  <c r="F136" i="13" s="1"/>
  <c r="D107" i="13"/>
  <c r="D108" i="13" s="1"/>
  <c r="D109" i="13" s="1"/>
  <c r="D110" i="13" s="1"/>
  <c r="E108" i="13"/>
  <c r="E109" i="13" s="1"/>
  <c r="E110" i="13" s="1"/>
  <c r="D21" i="13"/>
  <c r="D22" i="13" s="1"/>
  <c r="D23" i="13" s="1"/>
  <c r="D24" i="13" s="1"/>
  <c r="E22" i="13"/>
  <c r="E23" i="13" s="1"/>
  <c r="E24" i="13" s="1"/>
  <c r="D218" i="13"/>
  <c r="D219" i="13" s="1"/>
  <c r="D220" i="13" s="1"/>
  <c r="D221" i="13" s="1"/>
  <c r="F219" i="13"/>
  <c r="F220" i="13" s="1"/>
  <c r="F221" i="13" s="1"/>
  <c r="D192" i="13"/>
  <c r="D193" i="13" s="1"/>
  <c r="D194" i="13" s="1"/>
  <c r="D195" i="13" s="1"/>
  <c r="E193" i="13"/>
  <c r="D82" i="13"/>
  <c r="D83" i="13" s="1"/>
  <c r="D84" i="13" s="1"/>
  <c r="D85" i="13" s="1"/>
  <c r="F83" i="13"/>
  <c r="F84" i="13" s="1"/>
  <c r="F85" i="13" s="1"/>
  <c r="D56" i="13"/>
  <c r="D57" i="13" s="1"/>
  <c r="D58" i="13" s="1"/>
  <c r="D59" i="13" s="1"/>
  <c r="E57" i="13"/>
  <c r="E58" i="13" s="1"/>
  <c r="E59" i="13" s="1"/>
  <c r="E167" i="13"/>
  <c r="E168" i="13" s="1"/>
  <c r="E169" i="13" s="1"/>
  <c r="E170" i="13" s="1"/>
  <c r="F168" i="13"/>
  <c r="F169" i="13" s="1"/>
  <c r="F170" i="13" s="1"/>
  <c r="E30" i="13"/>
  <c r="E31" i="13" s="1"/>
  <c r="E32" i="13" s="1"/>
  <c r="E33" i="13" s="1"/>
  <c r="F31" i="13"/>
  <c r="F32" i="13" s="1"/>
  <c r="F33" i="13" s="1"/>
  <c r="D141" i="13"/>
  <c r="D142" i="13" s="1"/>
  <c r="D143" i="13" s="1"/>
  <c r="D144" i="13" s="1"/>
  <c r="E142" i="13"/>
  <c r="E143" i="13" s="1"/>
  <c r="E144" i="13" s="1"/>
  <c r="D226" i="13"/>
  <c r="D227" i="13" s="1"/>
  <c r="D228" i="13" s="1"/>
  <c r="D229" i="13" s="1"/>
  <c r="E227" i="13"/>
  <c r="E228" i="13" s="1"/>
  <c r="E229" i="13" s="1"/>
  <c r="D116" i="13"/>
  <c r="D117" i="13" s="1"/>
  <c r="D118" i="13" s="1"/>
  <c r="D119" i="13" s="1"/>
  <c r="F117" i="13"/>
  <c r="F118" i="13" s="1"/>
  <c r="F119" i="13" s="1"/>
  <c r="D90" i="13"/>
  <c r="D91" i="13" s="1"/>
  <c r="D92" i="13" s="1"/>
  <c r="D93" i="13" s="1"/>
  <c r="E91" i="13"/>
  <c r="E92" i="13" s="1"/>
  <c r="E93" i="13" s="1"/>
  <c r="E13" i="13"/>
  <c r="E14" i="13" s="1"/>
  <c r="E15" i="13" s="1"/>
  <c r="E16" i="13" s="1"/>
  <c r="E82" i="13"/>
  <c r="E83" i="13" s="1"/>
  <c r="E84" i="13" s="1"/>
  <c r="E85" i="13" s="1"/>
  <c r="E218" i="13"/>
  <c r="E219" i="13" s="1"/>
  <c r="E220" i="13" s="1"/>
  <c r="E221" i="13" s="1"/>
  <c r="D30" i="13"/>
  <c r="D31" i="13" s="1"/>
  <c r="D32" i="13" s="1"/>
  <c r="D33" i="13" s="1"/>
  <c r="D48" i="13"/>
  <c r="D49" i="13" s="1"/>
  <c r="D50" i="13" s="1"/>
  <c r="D51" i="13" s="1"/>
  <c r="D184" i="13"/>
  <c r="D185" i="13" s="1"/>
  <c r="D186" i="13" s="1"/>
  <c r="D187" i="13" s="1"/>
  <c r="D167" i="13"/>
  <c r="D168" i="13" s="1"/>
  <c r="D169" i="13" s="1"/>
  <c r="D170" i="13" s="1"/>
  <c r="E65" i="13"/>
  <c r="E66" i="13" s="1"/>
  <c r="E67" i="13" s="1"/>
  <c r="E68" i="13" s="1"/>
  <c r="E201" i="13"/>
  <c r="E202" i="13" s="1"/>
  <c r="E203" i="13" s="1"/>
  <c r="E204" i="13" s="1"/>
  <c r="E99" i="13"/>
  <c r="E100" i="13" s="1"/>
  <c r="E101" i="13" s="1"/>
  <c r="E102" i="13" s="1"/>
  <c r="E235" i="13"/>
  <c r="E236" i="13" s="1"/>
  <c r="E237" i="13" s="1"/>
  <c r="E238" i="13" s="1"/>
  <c r="E116" i="13"/>
  <c r="E117" i="13" s="1"/>
  <c r="E118" i="13" s="1"/>
  <c r="E119" i="13" s="1"/>
  <c r="E133" i="13"/>
  <c r="E134" i="13" s="1"/>
  <c r="E135" i="13" s="1"/>
  <c r="E136" i="13" s="1"/>
  <c r="E150" i="13"/>
  <c r="E151" i="13" s="1"/>
  <c r="E152" i="13" s="1"/>
  <c r="E153" i="13" s="1"/>
  <c r="L17" i="18" l="1"/>
  <c r="D284" i="4" l="1"/>
  <c r="B318" i="4" s="1"/>
  <c r="C284" i="4" l="1"/>
  <c r="G284" i="4" l="1"/>
  <c r="J40" i="1" l="1"/>
  <c r="C306" i="4"/>
  <c r="C307" i="4" s="1"/>
  <c r="C308" i="4" s="1"/>
  <c r="C127" i="17"/>
  <c r="C273" i="17" l="1"/>
  <c r="X61" i="1"/>
  <c r="C275" i="17" l="1"/>
  <c r="C274" i="17"/>
  <c r="F284" i="4" l="1"/>
  <c r="C318" i="4"/>
  <c r="E318" i="4" l="1"/>
  <c r="H284" i="4"/>
  <c r="F318" i="4" l="1"/>
  <c r="D316" i="4" s="1"/>
  <c r="M48" i="18"/>
  <c r="T44" i="18"/>
  <c r="D44" i="18" s="1"/>
  <c r="L17" i="1"/>
  <c r="M16" i="1" s="1"/>
  <c r="W44" i="1" l="1"/>
  <c r="M48" i="1" s="1"/>
  <c r="E44" i="18"/>
  <c r="E48" i="18" s="1"/>
  <c r="D48" i="18"/>
  <c r="M16" i="18"/>
  <c r="T44" i="1" l="1"/>
  <c r="D44" i="1" s="1"/>
  <c r="D48" i="1" s="1"/>
  <c r="P194" i="13"/>
  <c r="P195" i="13" s="1"/>
  <c r="Q194" i="13"/>
  <c r="Q195" i="13" s="1"/>
  <c r="L194" i="13"/>
  <c r="L195" i="13" s="1"/>
  <c r="E194" i="13"/>
  <c r="E195" i="13" s="1"/>
  <c r="I194" i="13"/>
  <c r="I195" i="13" s="1"/>
  <c r="J194" i="13"/>
  <c r="J195" i="13" s="1"/>
  <c r="F194" i="13"/>
  <c r="F195" i="13" s="1"/>
  <c r="O194" i="13"/>
  <c r="O195" i="13" s="1"/>
  <c r="G194" i="13"/>
  <c r="G195" i="13" s="1"/>
  <c r="K194" i="13"/>
  <c r="K195" i="13" s="1"/>
  <c r="H194" i="13"/>
  <c r="H195" i="13" s="1"/>
  <c r="M194" i="13"/>
  <c r="M195" i="13" s="1"/>
  <c r="N194" i="13"/>
  <c r="N195" i="13" s="1"/>
  <c r="E44" i="1" l="1"/>
  <c r="E48" i="1" s="1"/>
  <c r="E32" i="14"/>
  <c r="L18" i="18" s="1"/>
  <c r="L20" i="18" s="1"/>
  <c r="G49" i="18" s="1"/>
  <c r="L48" i="18" l="1"/>
  <c r="I49" i="18"/>
  <c r="L51" i="18" s="1"/>
  <c r="L49" i="18"/>
  <c r="K49" i="18"/>
  <c r="K48" i="18"/>
  <c r="L18" i="1"/>
  <c r="L20" i="1" s="1"/>
  <c r="G49" i="1" s="1"/>
  <c r="K49" i="1" l="1"/>
  <c r="L49" i="1"/>
  <c r="I50" i="18"/>
  <c r="G50" i="18"/>
  <c r="J51" i="18"/>
  <c r="I57" i="18" s="1"/>
  <c r="I49" i="1"/>
  <c r="L51" i="1" s="1"/>
  <c r="K48" i="1"/>
  <c r="I50" i="1"/>
  <c r="L48" i="1"/>
  <c r="Z54" i="1" l="1"/>
  <c r="AB54" i="1"/>
  <c r="AA54" i="1"/>
  <c r="AC54" i="1"/>
  <c r="Y54" i="1"/>
  <c r="X54" i="1"/>
  <c r="G50" i="1"/>
  <c r="F40" i="1"/>
  <c r="AB55" i="1" s="1"/>
  <c r="AB58" i="1" l="1"/>
  <c r="AB59" i="1" s="1"/>
  <c r="AA55" i="1"/>
  <c r="AA58" i="1" s="1"/>
  <c r="AA59" i="1" s="1"/>
  <c r="AC55" i="1"/>
  <c r="AC58" i="1" s="1"/>
  <c r="AC59" i="1" s="1"/>
  <c r="Z55" i="1"/>
  <c r="Z58" i="1" s="1"/>
  <c r="Z59" i="1" s="1"/>
  <c r="Y55" i="1"/>
  <c r="Y58" i="1" s="1"/>
  <c r="Y59" i="1" s="1"/>
  <c r="X55" i="1"/>
  <c r="X58" i="1" s="1"/>
  <c r="X59" i="1" s="1"/>
  <c r="T50" i="1" l="1"/>
  <c r="J51" i="1" l="1"/>
  <c r="I57" i="1" s="1"/>
  <c r="E240" i="4"/>
  <c r="D212" i="17"/>
  <c r="E212" i="17" l="1"/>
  <c r="Q24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tturner</author>
    <author>Therese Turner</author>
  </authors>
  <commentList>
    <comment ref="K7" authorId="0" shapeId="0" xr:uid="{D513F7C4-79C5-4EDF-BBEC-01BCCF2BEBF0}">
      <text>
        <r>
          <rPr>
            <b/>
            <sz val="9"/>
            <color indexed="81"/>
            <rFont val="Tahoma"/>
            <family val="2"/>
          </rPr>
          <t xml:space="preserve">Enter frequency 
(eg. W/F/B/M/A)
</t>
        </r>
        <r>
          <rPr>
            <sz val="9"/>
            <color indexed="81"/>
            <rFont val="Tahoma"/>
            <family val="2"/>
          </rPr>
          <t xml:space="preserve">
</t>
        </r>
      </text>
    </comment>
    <comment ref="L7" authorId="0" shapeId="0" xr:uid="{CC13E678-F43A-400F-89F9-1062DA392E8C}">
      <text>
        <r>
          <rPr>
            <b/>
            <sz val="9"/>
            <color indexed="81"/>
            <rFont val="Tahoma"/>
            <family val="2"/>
          </rPr>
          <t>Enter gross amount</t>
        </r>
        <r>
          <rPr>
            <sz val="9"/>
            <color indexed="81"/>
            <rFont val="Tahoma"/>
            <family val="2"/>
          </rPr>
          <t xml:space="preserve">
</t>
        </r>
      </text>
    </comment>
    <comment ref="C8" authorId="0" shapeId="0" xr:uid="{800E68C8-5AE0-44FF-8599-6678505D6E5E}">
      <text>
        <r>
          <rPr>
            <b/>
            <sz val="9"/>
            <color indexed="81"/>
            <rFont val="Tahoma"/>
            <family val="2"/>
          </rPr>
          <t xml:space="preserve">Member No.
</t>
        </r>
        <r>
          <rPr>
            <sz val="9"/>
            <color indexed="81"/>
            <rFont val="Tahoma"/>
            <family val="2"/>
          </rPr>
          <t xml:space="preserve">
</t>
        </r>
      </text>
    </comment>
    <comment ref="D8" authorId="0" shapeId="0" xr:uid="{4B370589-F93D-4373-A220-D22F44FFB646}">
      <text>
        <r>
          <rPr>
            <b/>
            <sz val="9"/>
            <color indexed="81"/>
            <rFont val="Tahoma"/>
            <family val="2"/>
          </rPr>
          <t xml:space="preserve">Enter employer name or self employed
</t>
        </r>
        <r>
          <rPr>
            <sz val="9"/>
            <color indexed="81"/>
            <rFont val="Tahoma"/>
            <family val="2"/>
          </rPr>
          <t xml:space="preserve">
</t>
        </r>
      </text>
    </comment>
    <comment ref="F8" authorId="0" shapeId="0" xr:uid="{BC442345-D715-4C0D-BCF5-687D2DBEEEB9}">
      <text>
        <r>
          <rPr>
            <b/>
            <sz val="9"/>
            <color indexed="81"/>
            <rFont val="Tahoma"/>
            <family val="2"/>
          </rPr>
          <t xml:space="preserve">Base salary 
</t>
        </r>
        <r>
          <rPr>
            <sz val="9"/>
            <color indexed="81"/>
            <rFont val="Tahoma"/>
            <family val="2"/>
          </rPr>
          <t xml:space="preserve">(before tax)
</t>
        </r>
      </text>
    </comment>
    <comment ref="G8" authorId="0" shapeId="0" xr:uid="{C278FEE4-E523-4383-9D9D-4888A3EB9FAE}">
      <text>
        <r>
          <rPr>
            <b/>
            <sz val="9"/>
            <color indexed="81"/>
            <rFont val="Tahoma"/>
            <family val="2"/>
          </rPr>
          <t xml:space="preserve">Enter frequency 
(eg. W/F/B/M/A)
</t>
        </r>
        <r>
          <rPr>
            <sz val="9"/>
            <color indexed="81"/>
            <rFont val="Tahoma"/>
            <family val="2"/>
          </rPr>
          <t xml:space="preserve">
</t>
        </r>
      </text>
    </comment>
    <comment ref="K8" authorId="0" shapeId="0" xr:uid="{B1BA7CD2-26A9-4581-8137-96AE48AEEC8E}">
      <text>
        <r>
          <rPr>
            <b/>
            <sz val="9"/>
            <color indexed="81"/>
            <rFont val="Tahoma"/>
            <family val="2"/>
          </rPr>
          <t xml:space="preserve">Enter frequency 
(eg. W/F/B/M/A)
</t>
        </r>
        <r>
          <rPr>
            <sz val="9"/>
            <color indexed="81"/>
            <rFont val="Tahoma"/>
            <family val="2"/>
          </rPr>
          <t xml:space="preserve">
</t>
        </r>
      </text>
    </comment>
    <comment ref="L8" authorId="0" shapeId="0" xr:uid="{7201C7EC-FAFD-401B-82DF-7EE231AF5D74}">
      <text>
        <r>
          <rPr>
            <b/>
            <sz val="9"/>
            <color indexed="81"/>
            <rFont val="Tahoma"/>
            <family val="2"/>
          </rPr>
          <t>Enter gross amount</t>
        </r>
        <r>
          <rPr>
            <sz val="9"/>
            <color indexed="81"/>
            <rFont val="Tahoma"/>
            <family val="2"/>
          </rPr>
          <t xml:space="preserve">
</t>
        </r>
      </text>
    </comment>
    <comment ref="C9" authorId="0" shapeId="0" xr:uid="{1D128BA9-D988-4F13-B845-CDA39BB2F330}">
      <text>
        <r>
          <rPr>
            <b/>
            <sz val="9"/>
            <color indexed="81"/>
            <rFont val="Tahoma"/>
            <family val="2"/>
          </rPr>
          <t>Must be regular
(YTD average)</t>
        </r>
        <r>
          <rPr>
            <sz val="9"/>
            <color indexed="81"/>
            <rFont val="Tahoma"/>
            <family val="2"/>
          </rPr>
          <t xml:space="preserve">
</t>
        </r>
      </text>
    </comment>
    <comment ref="D9" authorId="0" shapeId="0" xr:uid="{534D5426-0321-4D7F-A914-B305F7050113}">
      <text>
        <r>
          <rPr>
            <b/>
            <sz val="9"/>
            <color indexed="81"/>
            <rFont val="Tahoma"/>
            <family val="2"/>
          </rPr>
          <t>Average YTD must be regular</t>
        </r>
      </text>
    </comment>
    <comment ref="F9" authorId="0" shapeId="0" xr:uid="{47439D64-34FF-4703-A37E-A11CE4AFA0A6}">
      <text>
        <r>
          <rPr>
            <b/>
            <sz val="9"/>
            <color indexed="81"/>
            <rFont val="Tahoma"/>
            <family val="2"/>
          </rPr>
          <t xml:space="preserve">Enter average gross amount 
</t>
        </r>
        <r>
          <rPr>
            <sz val="9"/>
            <color indexed="81"/>
            <rFont val="Tahoma"/>
            <family val="2"/>
          </rPr>
          <t xml:space="preserve">(no need to discount)
</t>
        </r>
      </text>
    </comment>
    <comment ref="G9" authorId="0" shapeId="0" xr:uid="{C8151AD8-1DD8-4ADD-90C9-432FB1F03B5E}">
      <text>
        <r>
          <rPr>
            <b/>
            <sz val="9"/>
            <color indexed="81"/>
            <rFont val="Tahoma"/>
            <family val="2"/>
          </rPr>
          <t xml:space="preserve">Enter frequency 
(eg. W/F/B/M/A)
</t>
        </r>
        <r>
          <rPr>
            <sz val="9"/>
            <color indexed="81"/>
            <rFont val="Tahoma"/>
            <family val="2"/>
          </rPr>
          <t xml:space="preserve">
</t>
        </r>
      </text>
    </comment>
    <comment ref="K9" authorId="0" shapeId="0" xr:uid="{98BE4A75-FA24-49C9-853C-238AA8282942}">
      <text>
        <r>
          <rPr>
            <b/>
            <sz val="9"/>
            <color indexed="81"/>
            <rFont val="Tahoma"/>
            <family val="2"/>
          </rPr>
          <t xml:space="preserve">Enter frequency 
(eg. W/F/B/M/A)
</t>
        </r>
        <r>
          <rPr>
            <sz val="9"/>
            <color indexed="81"/>
            <rFont val="Tahoma"/>
            <family val="2"/>
          </rPr>
          <t xml:space="preserve">
</t>
        </r>
      </text>
    </comment>
    <comment ref="L9" authorId="0" shapeId="0" xr:uid="{5F249313-8F7B-48C8-8A25-B9C9C886432D}">
      <text>
        <r>
          <rPr>
            <b/>
            <sz val="9"/>
            <color indexed="81"/>
            <rFont val="Tahoma"/>
            <family val="2"/>
          </rPr>
          <t>Enter gross amount</t>
        </r>
        <r>
          <rPr>
            <sz val="9"/>
            <color indexed="81"/>
            <rFont val="Tahoma"/>
            <family val="2"/>
          </rPr>
          <t xml:space="preserve">
</t>
        </r>
      </text>
    </comment>
    <comment ref="C10" authorId="0" shapeId="0" xr:uid="{75643915-D755-4BB1-A72F-7FE7F04D8116}">
      <text>
        <r>
          <rPr>
            <b/>
            <sz val="9"/>
            <color indexed="81"/>
            <rFont val="Tahoma"/>
            <family val="2"/>
          </rPr>
          <t>Must be more than 12 months employment</t>
        </r>
        <r>
          <rPr>
            <sz val="9"/>
            <color indexed="81"/>
            <rFont val="Tahoma"/>
            <family val="2"/>
          </rPr>
          <t xml:space="preserve">
</t>
        </r>
      </text>
    </comment>
    <comment ref="D10" authorId="0" shapeId="0" xr:uid="{EDF37EAC-47A0-4D50-AD28-9D2EEFE76A3A}">
      <text>
        <r>
          <rPr>
            <b/>
            <sz val="9"/>
            <color indexed="81"/>
            <rFont val="Tahoma"/>
            <family val="2"/>
          </rPr>
          <t>Enter employer name. 
Must be continuous employment.</t>
        </r>
        <r>
          <rPr>
            <sz val="9"/>
            <color indexed="81"/>
            <rFont val="Tahoma"/>
            <family val="2"/>
          </rPr>
          <t xml:space="preserve">
</t>
        </r>
      </text>
    </comment>
    <comment ref="F10" authorId="0" shapeId="0" xr:uid="{2BE57B29-494A-44E9-8395-F5D32AB5773A}">
      <text>
        <r>
          <rPr>
            <b/>
            <sz val="9"/>
            <color indexed="81"/>
            <rFont val="Tahoma"/>
            <family val="2"/>
          </rPr>
          <t xml:space="preserve">Enter average gross amount 
</t>
        </r>
        <r>
          <rPr>
            <sz val="9"/>
            <color indexed="81"/>
            <rFont val="Tahoma"/>
            <family val="2"/>
          </rPr>
          <t xml:space="preserve">(no need to discount)
</t>
        </r>
      </text>
    </comment>
    <comment ref="G10" authorId="0" shapeId="0" xr:uid="{CA201D3D-B8BD-4BAC-B0E0-3E06458CA511}">
      <text>
        <r>
          <rPr>
            <b/>
            <sz val="9"/>
            <color indexed="81"/>
            <rFont val="Tahoma"/>
            <family val="2"/>
          </rPr>
          <t xml:space="preserve">Enter frequency 
(eg. W/F/B/M/A)
</t>
        </r>
        <r>
          <rPr>
            <sz val="9"/>
            <color indexed="81"/>
            <rFont val="Tahoma"/>
            <family val="2"/>
          </rPr>
          <t xml:space="preserve">
</t>
        </r>
      </text>
    </comment>
    <comment ref="C11" authorId="0" shapeId="0" xr:uid="{10B57F33-60E6-4351-8086-6F6647D56E6E}">
      <text>
        <r>
          <rPr>
            <b/>
            <sz val="9"/>
            <color indexed="81"/>
            <rFont val="Tahoma"/>
            <family val="2"/>
          </rPr>
          <t>Must be regular
(YTD average)</t>
        </r>
        <r>
          <rPr>
            <sz val="9"/>
            <color indexed="81"/>
            <rFont val="Tahoma"/>
            <family val="2"/>
          </rPr>
          <t xml:space="preserve">
</t>
        </r>
      </text>
    </comment>
    <comment ref="D11" authorId="0" shapeId="0" xr:uid="{FDE5EB51-07C1-47B4-8A16-D1757E21D027}">
      <text>
        <r>
          <rPr>
            <b/>
            <sz val="9"/>
            <color indexed="81"/>
            <rFont val="Tahoma"/>
            <family val="2"/>
          </rPr>
          <t>Must be contracted and paid on a regular basis.</t>
        </r>
        <r>
          <rPr>
            <sz val="9"/>
            <color indexed="81"/>
            <rFont val="Tahoma"/>
            <family val="2"/>
          </rPr>
          <t xml:space="preserve">
</t>
        </r>
      </text>
    </comment>
    <comment ref="F11" authorId="0" shapeId="0" xr:uid="{E30FC227-5950-4D93-A994-05AD669BC160}">
      <text>
        <r>
          <rPr>
            <b/>
            <sz val="9"/>
            <color indexed="81"/>
            <rFont val="Tahoma"/>
            <family val="2"/>
          </rPr>
          <t xml:space="preserve">Enter average gross amount 
</t>
        </r>
        <r>
          <rPr>
            <sz val="9"/>
            <color indexed="81"/>
            <rFont val="Tahoma"/>
            <family val="2"/>
          </rPr>
          <t xml:space="preserve">(no need to discount)
</t>
        </r>
      </text>
    </comment>
    <comment ref="G11" authorId="0" shapeId="0" xr:uid="{73C8DCA8-F660-4E3C-98F2-51F7BD9FA892}">
      <text>
        <r>
          <rPr>
            <b/>
            <sz val="9"/>
            <color indexed="81"/>
            <rFont val="Tahoma"/>
            <family val="2"/>
          </rPr>
          <t xml:space="preserve">Enter frequency 
(eg. W/F/B/M/A)
</t>
        </r>
        <r>
          <rPr>
            <sz val="9"/>
            <color indexed="81"/>
            <rFont val="Tahoma"/>
            <family val="2"/>
          </rPr>
          <t xml:space="preserve">
</t>
        </r>
      </text>
    </comment>
    <comment ref="C12" authorId="0" shapeId="0" xr:uid="{F76623F5-2DF8-4185-9370-0871D517AF44}">
      <text>
        <r>
          <rPr>
            <b/>
            <sz val="9"/>
            <color indexed="81"/>
            <rFont val="Tahoma"/>
            <family val="2"/>
          </rPr>
          <t>100% Condition of employment
80% Other allowances</t>
        </r>
        <r>
          <rPr>
            <sz val="9"/>
            <color indexed="81"/>
            <rFont val="Tahoma"/>
            <family val="2"/>
          </rPr>
          <t xml:space="preserve">
</t>
        </r>
      </text>
    </comment>
    <comment ref="D12" authorId="0" shapeId="0" xr:uid="{FD01EB9B-AFC0-4452-9346-8D5DE23F8DD4}">
      <text>
        <r>
          <rPr>
            <b/>
            <sz val="9"/>
            <color indexed="81"/>
            <rFont val="Tahoma"/>
            <family val="2"/>
          </rPr>
          <t>Must be condition of employment</t>
        </r>
        <r>
          <rPr>
            <sz val="9"/>
            <color indexed="81"/>
            <rFont val="Tahoma"/>
            <family val="2"/>
          </rPr>
          <t xml:space="preserve">
</t>
        </r>
      </text>
    </comment>
    <comment ref="F12" authorId="0" shapeId="0" xr:uid="{34CBCDF0-3A48-44CA-B91F-923F966C144F}">
      <text>
        <r>
          <rPr>
            <b/>
            <sz val="9"/>
            <color indexed="81"/>
            <rFont val="Tahoma"/>
            <family val="2"/>
          </rPr>
          <t xml:space="preserve">Enter average gross amount 
</t>
        </r>
        <r>
          <rPr>
            <sz val="9"/>
            <color indexed="81"/>
            <rFont val="Tahoma"/>
            <family val="2"/>
          </rPr>
          <t xml:space="preserve">(no need to discount)
</t>
        </r>
      </text>
    </comment>
    <comment ref="G12" authorId="0" shapeId="0" xr:uid="{ED34EE33-A657-4B38-8A95-46CCE8600CDB}">
      <text>
        <r>
          <rPr>
            <b/>
            <sz val="9"/>
            <color indexed="81"/>
            <rFont val="Tahoma"/>
            <family val="2"/>
          </rPr>
          <t xml:space="preserve">Enter frequency 
(eg. W/F/B/M/A)
</t>
        </r>
        <r>
          <rPr>
            <sz val="9"/>
            <color indexed="81"/>
            <rFont val="Tahoma"/>
            <family val="2"/>
          </rPr>
          <t xml:space="preserve">
</t>
        </r>
      </text>
    </comment>
    <comment ref="J12" authorId="0" shapeId="0" xr:uid="{6B4BEF03-31D3-4C1A-9B24-D0ACB1D40EC3}">
      <text>
        <r>
          <rPr>
            <b/>
            <sz val="9"/>
            <color indexed="81"/>
            <rFont val="Tahoma"/>
            <family val="2"/>
          </rPr>
          <t>Enter gross amount</t>
        </r>
        <r>
          <rPr>
            <sz val="9"/>
            <color indexed="81"/>
            <rFont val="Tahoma"/>
            <family val="2"/>
          </rPr>
          <t xml:space="preserve">
(no need to discount)</t>
        </r>
      </text>
    </comment>
    <comment ref="K12" authorId="0" shapeId="0" xr:uid="{D33FB0EE-2D04-4421-90BF-F67DCAAFCEDF}">
      <text>
        <r>
          <rPr>
            <b/>
            <sz val="9"/>
            <color indexed="81"/>
            <rFont val="Tahoma"/>
            <family val="2"/>
          </rPr>
          <t xml:space="preserve">Enter frequency 
(eg. W/F/B/M/A)
</t>
        </r>
        <r>
          <rPr>
            <sz val="9"/>
            <color indexed="81"/>
            <rFont val="Tahoma"/>
            <family val="2"/>
          </rPr>
          <t xml:space="preserve">
</t>
        </r>
      </text>
    </comment>
    <comment ref="L12" authorId="0" shapeId="0" xr:uid="{9F1DAB51-5C56-4589-84B4-317CF6C42BA1}">
      <text>
        <r>
          <rPr>
            <b/>
            <sz val="9"/>
            <color indexed="81"/>
            <rFont val="Tahoma"/>
            <family val="2"/>
          </rPr>
          <t>Enter suburb</t>
        </r>
        <r>
          <rPr>
            <sz val="9"/>
            <color indexed="81"/>
            <rFont val="Tahoma"/>
            <family val="2"/>
          </rPr>
          <t xml:space="preserve">
</t>
        </r>
      </text>
    </comment>
    <comment ref="C13" authorId="0" shapeId="0" xr:uid="{C220F191-C3AC-4532-A58D-90FAD8ED0AFA}">
      <text>
        <r>
          <rPr>
            <b/>
            <sz val="9"/>
            <color indexed="81"/>
            <rFont val="Tahoma"/>
            <family val="2"/>
          </rPr>
          <t>50% current year only
80% avg last 2 years</t>
        </r>
        <r>
          <rPr>
            <sz val="9"/>
            <color indexed="81"/>
            <rFont val="Tahoma"/>
            <family val="2"/>
          </rPr>
          <t xml:space="preserve">
</t>
        </r>
      </text>
    </comment>
    <comment ref="D13" authorId="0" shapeId="0" xr:uid="{9994F654-A427-43F4-A0E6-052D089322D4}">
      <text>
        <r>
          <rPr>
            <b/>
            <sz val="9"/>
            <color indexed="81"/>
            <rFont val="Tahoma"/>
            <family val="2"/>
          </rPr>
          <t>50% current year only
80% avg last 2 years</t>
        </r>
        <r>
          <rPr>
            <sz val="9"/>
            <color indexed="81"/>
            <rFont val="Tahoma"/>
            <family val="2"/>
          </rPr>
          <t xml:space="preserve">
</t>
        </r>
      </text>
    </comment>
    <comment ref="F13" authorId="0" shapeId="0" xr:uid="{7987D288-2742-4A8A-A6B7-A46D66A84783}">
      <text>
        <r>
          <rPr>
            <b/>
            <sz val="9"/>
            <color indexed="81"/>
            <rFont val="Tahoma"/>
            <family val="2"/>
          </rPr>
          <t xml:space="preserve">Enter average gross amount 
</t>
        </r>
        <r>
          <rPr>
            <sz val="9"/>
            <color indexed="81"/>
            <rFont val="Tahoma"/>
            <family val="2"/>
          </rPr>
          <t xml:space="preserve">(no need to discount)
</t>
        </r>
      </text>
    </comment>
    <comment ref="G13" authorId="0" shapeId="0" xr:uid="{2262AA80-3DBB-4498-AFA0-FDDC358AB8C0}">
      <text>
        <r>
          <rPr>
            <b/>
            <sz val="9"/>
            <color indexed="81"/>
            <rFont val="Tahoma"/>
            <family val="2"/>
          </rPr>
          <t xml:space="preserve">Enter frequency 
(eg. W/F/B/M/A)
</t>
        </r>
        <r>
          <rPr>
            <sz val="9"/>
            <color indexed="81"/>
            <rFont val="Tahoma"/>
            <family val="2"/>
          </rPr>
          <t xml:space="preserve">
</t>
        </r>
      </text>
    </comment>
    <comment ref="J13" authorId="0" shapeId="0" xr:uid="{B6459377-2204-4940-B70D-931791475F6A}">
      <text>
        <r>
          <rPr>
            <b/>
            <sz val="9"/>
            <color indexed="81"/>
            <rFont val="Tahoma"/>
            <family val="2"/>
          </rPr>
          <t>Enter gross amount</t>
        </r>
        <r>
          <rPr>
            <sz val="9"/>
            <color indexed="81"/>
            <rFont val="Tahoma"/>
            <family val="2"/>
          </rPr>
          <t xml:space="preserve">
(no need to discount)</t>
        </r>
      </text>
    </comment>
    <comment ref="K13" authorId="0" shapeId="0" xr:uid="{8CA94A52-A1D6-4F08-85FA-E4D9BB64B515}">
      <text>
        <r>
          <rPr>
            <b/>
            <sz val="9"/>
            <color indexed="81"/>
            <rFont val="Tahoma"/>
            <family val="2"/>
          </rPr>
          <t xml:space="preserve">Enter frequency 
(eg. W/F/B/M/A)
</t>
        </r>
        <r>
          <rPr>
            <sz val="9"/>
            <color indexed="81"/>
            <rFont val="Tahoma"/>
            <family val="2"/>
          </rPr>
          <t xml:space="preserve">
</t>
        </r>
      </text>
    </comment>
    <comment ref="L13" authorId="0" shapeId="0" xr:uid="{BD0FB9CD-652F-4A78-B592-1CE2DB7E6CE8}">
      <text>
        <r>
          <rPr>
            <b/>
            <sz val="9"/>
            <color indexed="81"/>
            <rFont val="Tahoma"/>
            <family val="2"/>
          </rPr>
          <t>Enter suburb</t>
        </r>
        <r>
          <rPr>
            <sz val="9"/>
            <color indexed="81"/>
            <rFont val="Tahoma"/>
            <family val="2"/>
          </rPr>
          <t xml:space="preserve">
</t>
        </r>
      </text>
    </comment>
    <comment ref="C14" authorId="0" shapeId="0" xr:uid="{16A744C8-2790-4646-A022-A67C06FEF226}">
      <text>
        <r>
          <rPr>
            <b/>
            <sz val="9"/>
            <color indexed="81"/>
            <rFont val="Tahoma"/>
            <family val="2"/>
          </rPr>
          <t xml:space="preserve">Member No.
</t>
        </r>
        <r>
          <rPr>
            <sz val="9"/>
            <color indexed="81"/>
            <rFont val="Tahoma"/>
            <family val="2"/>
          </rPr>
          <t xml:space="preserve">
</t>
        </r>
      </text>
    </comment>
    <comment ref="D14" authorId="0" shapeId="0" xr:uid="{DAD8975F-EA4C-406D-898D-BCA22B01664A}">
      <text>
        <r>
          <rPr>
            <b/>
            <sz val="9"/>
            <color indexed="81"/>
            <rFont val="Tahoma"/>
            <family val="2"/>
          </rPr>
          <t xml:space="preserve">Enter employer name or self employed
</t>
        </r>
        <r>
          <rPr>
            <sz val="9"/>
            <color indexed="81"/>
            <rFont val="Tahoma"/>
            <family val="2"/>
          </rPr>
          <t xml:space="preserve">
</t>
        </r>
      </text>
    </comment>
    <comment ref="F14" authorId="0" shapeId="0" xr:uid="{8DFA60B5-FC70-4E38-B2C6-9BCBC25B9B53}">
      <text>
        <r>
          <rPr>
            <b/>
            <sz val="9"/>
            <color indexed="81"/>
            <rFont val="Tahoma"/>
            <family val="2"/>
          </rPr>
          <t xml:space="preserve">Base salary 
</t>
        </r>
        <r>
          <rPr>
            <sz val="9"/>
            <color indexed="81"/>
            <rFont val="Tahoma"/>
            <family val="2"/>
          </rPr>
          <t xml:space="preserve">(before tax)
</t>
        </r>
      </text>
    </comment>
    <comment ref="G14" authorId="0" shapeId="0" xr:uid="{DA018367-48C2-4CB1-B2BC-B014DA1C6787}">
      <text>
        <r>
          <rPr>
            <b/>
            <sz val="9"/>
            <color indexed="81"/>
            <rFont val="Tahoma"/>
            <family val="2"/>
          </rPr>
          <t xml:space="preserve">Enter frequency 
(eg. W/F/B/M/A)
</t>
        </r>
        <r>
          <rPr>
            <sz val="9"/>
            <color indexed="81"/>
            <rFont val="Tahoma"/>
            <family val="2"/>
          </rPr>
          <t xml:space="preserve">
</t>
        </r>
      </text>
    </comment>
    <comment ref="C15" authorId="0" shapeId="0" xr:uid="{1D0B3F4F-189F-4E05-B40E-52FF57926465}">
      <text>
        <r>
          <rPr>
            <b/>
            <sz val="9"/>
            <color indexed="81"/>
            <rFont val="Tahoma"/>
            <family val="2"/>
          </rPr>
          <t>Must be regular
(YTD average)</t>
        </r>
        <r>
          <rPr>
            <sz val="9"/>
            <color indexed="81"/>
            <rFont val="Tahoma"/>
            <family val="2"/>
          </rPr>
          <t xml:space="preserve">
</t>
        </r>
      </text>
    </comment>
    <comment ref="D15" authorId="0" shapeId="0" xr:uid="{AB52BC97-7345-4761-9750-1C258494C515}">
      <text>
        <r>
          <rPr>
            <b/>
            <sz val="9"/>
            <color indexed="81"/>
            <rFont val="Tahoma"/>
            <family val="2"/>
          </rPr>
          <t>Average YTD must be regular</t>
        </r>
      </text>
    </comment>
    <comment ref="F15" authorId="0" shapeId="0" xr:uid="{50285A17-2063-42A6-9144-46BF7BC7A5BA}">
      <text>
        <r>
          <rPr>
            <b/>
            <sz val="9"/>
            <color indexed="81"/>
            <rFont val="Tahoma"/>
            <family val="2"/>
          </rPr>
          <t xml:space="preserve">Enter average gross amount 
</t>
        </r>
        <r>
          <rPr>
            <sz val="9"/>
            <color indexed="81"/>
            <rFont val="Tahoma"/>
            <family val="2"/>
          </rPr>
          <t xml:space="preserve">(no need to discount)
</t>
        </r>
      </text>
    </comment>
    <comment ref="G15" authorId="0" shapeId="0" xr:uid="{7234FC79-54BA-4BB4-87A9-BE14206A335E}">
      <text>
        <r>
          <rPr>
            <b/>
            <sz val="9"/>
            <color indexed="81"/>
            <rFont val="Tahoma"/>
            <family val="2"/>
          </rPr>
          <t xml:space="preserve">Enter frequency 
(eg. W/F/B/M/A)
</t>
        </r>
        <r>
          <rPr>
            <sz val="9"/>
            <color indexed="81"/>
            <rFont val="Tahoma"/>
            <family val="2"/>
          </rPr>
          <t xml:space="preserve">
</t>
        </r>
      </text>
    </comment>
    <comment ref="C16" authorId="0" shapeId="0" xr:uid="{D3ABAD0A-1E88-4E8E-9D4F-4E632B733841}">
      <text>
        <r>
          <rPr>
            <b/>
            <sz val="9"/>
            <color indexed="81"/>
            <rFont val="Tahoma"/>
            <family val="2"/>
          </rPr>
          <t>Must be more than 12 months employment</t>
        </r>
        <r>
          <rPr>
            <sz val="9"/>
            <color indexed="81"/>
            <rFont val="Tahoma"/>
            <family val="2"/>
          </rPr>
          <t xml:space="preserve">
</t>
        </r>
      </text>
    </comment>
    <comment ref="D16" authorId="0" shapeId="0" xr:uid="{EB335962-CC80-4C86-A2D1-EFE41E290FF4}">
      <text>
        <r>
          <rPr>
            <b/>
            <sz val="9"/>
            <color indexed="81"/>
            <rFont val="Tahoma"/>
            <family val="2"/>
          </rPr>
          <t>Enter employer name. 
Must be continuous employment.</t>
        </r>
        <r>
          <rPr>
            <sz val="9"/>
            <color indexed="81"/>
            <rFont val="Tahoma"/>
            <family val="2"/>
          </rPr>
          <t xml:space="preserve">
</t>
        </r>
      </text>
    </comment>
    <comment ref="F16" authorId="0" shapeId="0" xr:uid="{3AC732B1-6DCC-416D-86F3-D04F3E58ABF6}">
      <text>
        <r>
          <rPr>
            <b/>
            <sz val="9"/>
            <color indexed="81"/>
            <rFont val="Tahoma"/>
            <family val="2"/>
          </rPr>
          <t xml:space="preserve">Enter average gross amount 
</t>
        </r>
        <r>
          <rPr>
            <sz val="9"/>
            <color indexed="81"/>
            <rFont val="Tahoma"/>
            <family val="2"/>
          </rPr>
          <t xml:space="preserve">(no need to discount)
</t>
        </r>
      </text>
    </comment>
    <comment ref="G16" authorId="0" shapeId="0" xr:uid="{F6217ABA-104B-4CCC-A95C-48616A922A07}">
      <text>
        <r>
          <rPr>
            <b/>
            <sz val="9"/>
            <color indexed="81"/>
            <rFont val="Tahoma"/>
            <family val="2"/>
          </rPr>
          <t xml:space="preserve">Enter frequency 
(eg. W/F/B/M/A)
</t>
        </r>
        <r>
          <rPr>
            <sz val="9"/>
            <color indexed="81"/>
            <rFont val="Tahoma"/>
            <family val="2"/>
          </rPr>
          <t xml:space="preserve">
</t>
        </r>
      </text>
    </comment>
    <comment ref="J16" authorId="0" shapeId="0" xr:uid="{E3F60262-EA81-4B5D-80D1-8BF0F803CA71}">
      <text>
        <r>
          <rPr>
            <b/>
            <sz val="9"/>
            <color indexed="81"/>
            <rFont val="Tahoma"/>
            <family val="2"/>
          </rPr>
          <t>Enter number of adults (max 2)</t>
        </r>
        <r>
          <rPr>
            <sz val="9"/>
            <color indexed="81"/>
            <rFont val="Tahoma"/>
            <family val="2"/>
          </rPr>
          <t xml:space="preserve">
</t>
        </r>
      </text>
    </comment>
    <comment ref="C17" authorId="0" shapeId="0" xr:uid="{3C61C054-03B6-415A-8CDB-104B181A5982}">
      <text>
        <r>
          <rPr>
            <b/>
            <sz val="9"/>
            <color indexed="81"/>
            <rFont val="Tahoma"/>
            <family val="2"/>
          </rPr>
          <t>Must be regular
(YTD average)</t>
        </r>
        <r>
          <rPr>
            <sz val="9"/>
            <color indexed="81"/>
            <rFont val="Tahoma"/>
            <family val="2"/>
          </rPr>
          <t xml:space="preserve">
</t>
        </r>
      </text>
    </comment>
    <comment ref="D17" authorId="0" shapeId="0" xr:uid="{743E7D6C-0D94-4A72-865B-62A71190D87B}">
      <text>
        <r>
          <rPr>
            <b/>
            <sz val="9"/>
            <color indexed="81"/>
            <rFont val="Tahoma"/>
            <family val="2"/>
          </rPr>
          <t>Must be contracted and paid on a regular basis.</t>
        </r>
        <r>
          <rPr>
            <sz val="9"/>
            <color indexed="81"/>
            <rFont val="Tahoma"/>
            <family val="2"/>
          </rPr>
          <t xml:space="preserve">
</t>
        </r>
      </text>
    </comment>
    <comment ref="F17" authorId="0" shapeId="0" xr:uid="{A57F4D85-1BF9-4071-B621-AB58476773EB}">
      <text>
        <r>
          <rPr>
            <b/>
            <sz val="9"/>
            <color indexed="81"/>
            <rFont val="Tahoma"/>
            <family val="2"/>
          </rPr>
          <t xml:space="preserve">Enter average gross amount 
</t>
        </r>
        <r>
          <rPr>
            <sz val="9"/>
            <color indexed="81"/>
            <rFont val="Tahoma"/>
            <family val="2"/>
          </rPr>
          <t xml:space="preserve">(no need to discount)
</t>
        </r>
      </text>
    </comment>
    <comment ref="G17" authorId="0" shapeId="0" xr:uid="{DB65F39A-2D8F-4F36-B3E0-930109CD4ADD}">
      <text>
        <r>
          <rPr>
            <b/>
            <sz val="9"/>
            <color indexed="81"/>
            <rFont val="Tahoma"/>
            <family val="2"/>
          </rPr>
          <t xml:space="preserve">Enter frequency 
(eg. W/F/B/M/A)
</t>
        </r>
        <r>
          <rPr>
            <sz val="9"/>
            <color indexed="81"/>
            <rFont val="Tahoma"/>
            <family val="2"/>
          </rPr>
          <t xml:space="preserve">
</t>
        </r>
      </text>
    </comment>
    <comment ref="J17" authorId="0" shapeId="0" xr:uid="{1D58CD7C-55A7-47E4-B005-E86BBE4D32AA}">
      <text>
        <r>
          <rPr>
            <b/>
            <sz val="9"/>
            <color indexed="81"/>
            <rFont val="Tahoma"/>
            <family val="2"/>
          </rPr>
          <t>Enter number of dependent children (max 6)</t>
        </r>
        <r>
          <rPr>
            <sz val="9"/>
            <color indexed="81"/>
            <rFont val="Tahoma"/>
            <family val="2"/>
          </rPr>
          <t xml:space="preserve">
</t>
        </r>
      </text>
    </comment>
    <comment ref="C18" authorId="0" shapeId="0" xr:uid="{F911D512-6E55-40E9-B303-11F9D2568D42}">
      <text>
        <r>
          <rPr>
            <b/>
            <sz val="9"/>
            <color indexed="81"/>
            <rFont val="Tahoma"/>
            <family val="2"/>
          </rPr>
          <t>100% Condition of employment
80% Other allowances</t>
        </r>
        <r>
          <rPr>
            <sz val="9"/>
            <color indexed="81"/>
            <rFont val="Tahoma"/>
            <family val="2"/>
          </rPr>
          <t xml:space="preserve">
</t>
        </r>
      </text>
    </comment>
    <comment ref="D18" authorId="0" shapeId="0" xr:uid="{CA67C4C0-C8AC-4228-A28E-1BBB69C0A6BC}">
      <text>
        <r>
          <rPr>
            <b/>
            <sz val="9"/>
            <color indexed="81"/>
            <rFont val="Tahoma"/>
            <family val="2"/>
          </rPr>
          <t>Must be condition of employment</t>
        </r>
        <r>
          <rPr>
            <sz val="9"/>
            <color indexed="81"/>
            <rFont val="Tahoma"/>
            <family val="2"/>
          </rPr>
          <t xml:space="preserve">
</t>
        </r>
      </text>
    </comment>
    <comment ref="F18" authorId="0" shapeId="0" xr:uid="{106B0566-A481-4D4D-A770-A4656142AF3C}">
      <text>
        <r>
          <rPr>
            <b/>
            <sz val="9"/>
            <color indexed="81"/>
            <rFont val="Tahoma"/>
            <family val="2"/>
          </rPr>
          <t xml:space="preserve">Enter average gross amount 
</t>
        </r>
        <r>
          <rPr>
            <sz val="9"/>
            <color indexed="81"/>
            <rFont val="Tahoma"/>
            <family val="2"/>
          </rPr>
          <t xml:space="preserve">(no need to discount)
</t>
        </r>
      </text>
    </comment>
    <comment ref="G18" authorId="0" shapeId="0" xr:uid="{A6037587-2A84-46D4-A9CB-DE94ADDC3EC0}">
      <text>
        <r>
          <rPr>
            <b/>
            <sz val="9"/>
            <color indexed="81"/>
            <rFont val="Tahoma"/>
            <family val="2"/>
          </rPr>
          <t xml:space="preserve">Enter frequency 
(eg. W/F/B/M/A)
</t>
        </r>
        <r>
          <rPr>
            <sz val="9"/>
            <color indexed="81"/>
            <rFont val="Tahoma"/>
            <family val="2"/>
          </rPr>
          <t xml:space="preserve">
</t>
        </r>
      </text>
    </comment>
    <comment ref="J18" authorId="0" shapeId="0" xr:uid="{394B3A8F-9F5A-4243-818F-14E6C5865608}">
      <text>
        <r>
          <rPr>
            <b/>
            <sz val="9"/>
            <color indexed="81"/>
            <rFont val="Tahoma"/>
            <family val="2"/>
          </rPr>
          <t xml:space="preserve">Only applies if applicant is over 30 years of age
</t>
        </r>
      </text>
    </comment>
    <comment ref="L18" authorId="0" shapeId="0" xr:uid="{762C67FC-3251-41FC-816C-1861AB6D0F9E}">
      <text>
        <r>
          <rPr>
            <b/>
            <sz val="9"/>
            <color indexed="81"/>
            <rFont val="Tahoma"/>
            <family val="2"/>
          </rPr>
          <t>Applicant disclosed living expenses</t>
        </r>
        <r>
          <rPr>
            <sz val="9"/>
            <color indexed="81"/>
            <rFont val="Tahoma"/>
            <family val="2"/>
          </rPr>
          <t xml:space="preserve">
</t>
        </r>
      </text>
    </comment>
    <comment ref="C19" authorId="0" shapeId="0" xr:uid="{C3B45B05-F36A-494B-B6A6-55653D568655}">
      <text>
        <r>
          <rPr>
            <b/>
            <sz val="9"/>
            <color indexed="81"/>
            <rFont val="Tahoma"/>
            <family val="2"/>
          </rPr>
          <t>50% current year only
80% avg last 2 years</t>
        </r>
        <r>
          <rPr>
            <sz val="9"/>
            <color indexed="81"/>
            <rFont val="Tahoma"/>
            <family val="2"/>
          </rPr>
          <t xml:space="preserve">
</t>
        </r>
      </text>
    </comment>
    <comment ref="D19" authorId="0" shapeId="0" xr:uid="{3541DAD3-1BD2-464B-A948-102DCA688236}">
      <text>
        <r>
          <rPr>
            <b/>
            <sz val="9"/>
            <color indexed="81"/>
            <rFont val="Tahoma"/>
            <family val="2"/>
          </rPr>
          <t>50% current year only
80% avg last 2 years</t>
        </r>
        <r>
          <rPr>
            <sz val="9"/>
            <color indexed="81"/>
            <rFont val="Tahoma"/>
            <family val="2"/>
          </rPr>
          <t xml:space="preserve">
</t>
        </r>
      </text>
    </comment>
    <comment ref="F19" authorId="0" shapeId="0" xr:uid="{69DEA2A7-9C5B-497E-9664-28CD12A24BE1}">
      <text>
        <r>
          <rPr>
            <b/>
            <sz val="9"/>
            <color indexed="81"/>
            <rFont val="Tahoma"/>
            <family val="2"/>
          </rPr>
          <t xml:space="preserve">Enter average gross amount 
</t>
        </r>
        <r>
          <rPr>
            <sz val="9"/>
            <color indexed="81"/>
            <rFont val="Tahoma"/>
            <family val="2"/>
          </rPr>
          <t xml:space="preserve">(no need to discount)
</t>
        </r>
      </text>
    </comment>
    <comment ref="G19" authorId="0" shapeId="0" xr:uid="{364A9104-289B-43E7-8D08-B0E8ECC47C80}">
      <text>
        <r>
          <rPr>
            <b/>
            <sz val="9"/>
            <color indexed="81"/>
            <rFont val="Tahoma"/>
            <family val="2"/>
          </rPr>
          <t xml:space="preserve">Enter frequency 
(eg. W/F/B/M/A)
</t>
        </r>
        <r>
          <rPr>
            <sz val="9"/>
            <color indexed="81"/>
            <rFont val="Tahoma"/>
            <family val="2"/>
          </rPr>
          <t xml:space="preserve">
</t>
        </r>
      </text>
    </comment>
    <comment ref="J19" authorId="0" shapeId="0" xr:uid="{CE7030E9-8424-4842-AC52-971B0A6862A4}">
      <text>
        <r>
          <rPr>
            <b/>
            <sz val="9"/>
            <color indexed="81"/>
            <rFont val="Tahoma"/>
            <family val="2"/>
          </rPr>
          <t>Is proposed loan LMI insured?</t>
        </r>
      </text>
    </comment>
    <comment ref="L19" authorId="0" shapeId="0" xr:uid="{FEF32CB4-FFE4-47AD-BB5F-3546DD72BA73}">
      <text>
        <r>
          <rPr>
            <b/>
            <sz val="9"/>
            <color indexed="81"/>
            <rFont val="Tahoma"/>
            <family val="2"/>
          </rPr>
          <t>MOVE assessed living expenses</t>
        </r>
        <r>
          <rPr>
            <sz val="9"/>
            <color indexed="81"/>
            <rFont val="Tahoma"/>
            <family val="2"/>
          </rPr>
          <t xml:space="preserve">
</t>
        </r>
      </text>
    </comment>
    <comment ref="J20" authorId="0" shapeId="0" xr:uid="{64E38C19-D28C-4FCE-B23D-1D22B43F91D8}">
      <text>
        <r>
          <rPr>
            <b/>
            <sz val="9"/>
            <color indexed="81"/>
            <rFont val="Tahoma"/>
            <family val="2"/>
          </rPr>
          <t xml:space="preserve">Enter residential location. </t>
        </r>
        <r>
          <rPr>
            <sz val="9"/>
            <color indexed="81"/>
            <rFont val="Tahoma"/>
            <family val="2"/>
          </rPr>
          <t xml:space="preserve">(Refer to Geographic Class Tab for more assistance)
</t>
        </r>
      </text>
    </comment>
    <comment ref="C24" authorId="1" shapeId="0" xr:uid="{6A4B8DDC-ECCB-4326-8A25-05EDB5202E58}">
      <text>
        <r>
          <rPr>
            <b/>
            <sz val="9"/>
            <color indexed="81"/>
            <rFont val="Tahoma"/>
            <family val="2"/>
          </rPr>
          <t>Total loan amount including fees, insurance and available redraw</t>
        </r>
        <r>
          <rPr>
            <sz val="9"/>
            <color indexed="81"/>
            <rFont val="Tahoma"/>
            <family val="2"/>
          </rPr>
          <t xml:space="preserve">
</t>
        </r>
      </text>
    </comment>
    <comment ref="G24" authorId="0" shapeId="0" xr:uid="{46E23B5A-4BA8-4EC8-97FE-51697FDF6A62}">
      <text>
        <r>
          <rPr>
            <b/>
            <sz val="9"/>
            <color indexed="81"/>
            <rFont val="Tahoma"/>
            <family val="2"/>
          </rPr>
          <t>Term of loan
(exclude interest only periods)</t>
        </r>
      </text>
    </comment>
    <comment ref="C25" authorId="1" shapeId="0" xr:uid="{8377714F-0974-40D9-A3D4-2970A7D97AF2}">
      <text>
        <r>
          <rPr>
            <b/>
            <sz val="9"/>
            <color indexed="81"/>
            <rFont val="Tahoma"/>
            <family val="2"/>
          </rPr>
          <t>Include loan amount and any available redraw amount</t>
        </r>
        <r>
          <rPr>
            <sz val="9"/>
            <color indexed="81"/>
            <rFont val="Tahoma"/>
            <family val="2"/>
          </rPr>
          <t xml:space="preserve">
</t>
        </r>
      </text>
    </comment>
    <comment ref="E25" authorId="0" shapeId="0" xr:uid="{8ECA2134-D120-4DFC-996F-1906A950241C}">
      <text>
        <r>
          <rPr>
            <b/>
            <sz val="9"/>
            <color indexed="81"/>
            <rFont val="Tahoma"/>
            <family val="2"/>
          </rPr>
          <t xml:space="preserve">Enter interest rate
</t>
        </r>
        <r>
          <rPr>
            <sz val="9"/>
            <color indexed="81"/>
            <rFont val="Tahoma"/>
            <family val="2"/>
          </rPr>
          <t xml:space="preserve">
</t>
        </r>
      </text>
    </comment>
    <comment ref="C26" authorId="1" shapeId="0" xr:uid="{C3BA56CA-0B70-4AB9-8CA3-32B90A3562FC}">
      <text>
        <r>
          <rPr>
            <b/>
            <sz val="9"/>
            <color indexed="81"/>
            <rFont val="Tahoma"/>
            <family val="2"/>
          </rPr>
          <t>Include loan amount and any available redraw amount</t>
        </r>
        <r>
          <rPr>
            <sz val="9"/>
            <color indexed="81"/>
            <rFont val="Tahoma"/>
            <family val="2"/>
          </rPr>
          <t xml:space="preserve">
</t>
        </r>
      </text>
    </comment>
    <comment ref="E26" authorId="0" shapeId="0" xr:uid="{B7ACF12D-6C6D-4806-A7FB-81034DE64448}">
      <text>
        <r>
          <rPr>
            <b/>
            <sz val="9"/>
            <color indexed="81"/>
            <rFont val="Tahoma"/>
            <family val="2"/>
          </rPr>
          <t xml:space="preserve">Enter interest rate
</t>
        </r>
        <r>
          <rPr>
            <sz val="9"/>
            <color indexed="81"/>
            <rFont val="Tahoma"/>
            <family val="2"/>
          </rPr>
          <t xml:space="preserve">
</t>
        </r>
      </text>
    </comment>
    <comment ref="C27" authorId="1" shapeId="0" xr:uid="{A4F16011-0061-4733-A47C-6780EB1EEE9F}">
      <text>
        <r>
          <rPr>
            <b/>
            <sz val="9"/>
            <color indexed="81"/>
            <rFont val="Tahoma"/>
            <family val="2"/>
          </rPr>
          <t>Include loan amount and any available redraw amount</t>
        </r>
        <r>
          <rPr>
            <sz val="9"/>
            <color indexed="81"/>
            <rFont val="Tahoma"/>
            <family val="2"/>
          </rPr>
          <t xml:space="preserve">
</t>
        </r>
      </text>
    </comment>
    <comment ref="E27" authorId="0" shapeId="0" xr:uid="{8C6FFFFF-3A4D-4C95-B497-C3A9001C64F6}">
      <text>
        <r>
          <rPr>
            <b/>
            <sz val="9"/>
            <color indexed="81"/>
            <rFont val="Tahoma"/>
            <family val="2"/>
          </rPr>
          <t xml:space="preserve">Enter interest rate
</t>
        </r>
        <r>
          <rPr>
            <sz val="9"/>
            <color indexed="81"/>
            <rFont val="Tahoma"/>
            <family val="2"/>
          </rPr>
          <t xml:space="preserve">
</t>
        </r>
      </text>
    </comment>
    <comment ref="C28" authorId="1" shapeId="0" xr:uid="{5C210A30-F9C6-40BE-9B9D-EF150378A8F0}">
      <text>
        <r>
          <rPr>
            <b/>
            <sz val="9"/>
            <color indexed="81"/>
            <rFont val="Tahoma"/>
            <family val="2"/>
          </rPr>
          <t>Include loan amount and any available redraw amount</t>
        </r>
        <r>
          <rPr>
            <sz val="9"/>
            <color indexed="81"/>
            <rFont val="Tahoma"/>
            <family val="2"/>
          </rPr>
          <t xml:space="preserve">
</t>
        </r>
      </text>
    </comment>
    <comment ref="E28" authorId="0" shapeId="0" xr:uid="{89399534-7298-4414-9FAC-34295FE5AC18}">
      <text>
        <r>
          <rPr>
            <b/>
            <sz val="9"/>
            <color indexed="81"/>
            <rFont val="Tahoma"/>
            <family val="2"/>
          </rPr>
          <t xml:space="preserve">Enter interest rate
</t>
        </r>
        <r>
          <rPr>
            <sz val="9"/>
            <color indexed="81"/>
            <rFont val="Tahoma"/>
            <family val="2"/>
          </rPr>
          <t xml:space="preserve">
</t>
        </r>
      </text>
    </comment>
    <comment ref="D29" authorId="0" shapeId="0" xr:uid="{ABECD319-3140-444B-97EA-C4C3EFF3059D}">
      <text>
        <r>
          <rPr>
            <b/>
            <sz val="9"/>
            <color indexed="81"/>
            <rFont val="Tahoma"/>
            <family val="2"/>
          </rPr>
          <t xml:space="preserve">Enter frequency 
(eg. W/F/B/M/A)
</t>
        </r>
        <r>
          <rPr>
            <sz val="9"/>
            <color indexed="81"/>
            <rFont val="Tahoma"/>
            <family val="2"/>
          </rPr>
          <t xml:space="preserve">
</t>
        </r>
      </text>
    </comment>
    <comment ref="E29" authorId="0" shapeId="0" xr:uid="{50236002-3720-47E6-A908-510D2DE5CE4F}">
      <text>
        <r>
          <rPr>
            <b/>
            <sz val="9"/>
            <color indexed="81"/>
            <rFont val="Tahoma"/>
            <family val="2"/>
          </rPr>
          <t>Enter 
repayment amount</t>
        </r>
        <r>
          <rPr>
            <sz val="9"/>
            <color indexed="81"/>
            <rFont val="Tahoma"/>
            <family val="2"/>
          </rPr>
          <t xml:space="preserve">
</t>
        </r>
      </text>
    </comment>
    <comment ref="D30" authorId="0" shapeId="0" xr:uid="{07536096-3F27-4CB0-8255-3204873CA806}">
      <text>
        <r>
          <rPr>
            <b/>
            <sz val="9"/>
            <color indexed="81"/>
            <rFont val="Tahoma"/>
            <family val="2"/>
          </rPr>
          <t xml:space="preserve">Enter frequency 
(eg. W/F/B/M/A)
</t>
        </r>
        <r>
          <rPr>
            <sz val="9"/>
            <color indexed="81"/>
            <rFont val="Tahoma"/>
            <family val="2"/>
          </rPr>
          <t xml:space="preserve">
</t>
        </r>
      </text>
    </comment>
    <comment ref="E30" authorId="0" shapeId="0" xr:uid="{79CD587B-AD64-48E2-9614-9EF42D3D9B7F}">
      <text>
        <r>
          <rPr>
            <b/>
            <sz val="9"/>
            <color indexed="81"/>
            <rFont val="Tahoma"/>
            <family val="2"/>
          </rPr>
          <t>Enter 
repayment amount</t>
        </r>
        <r>
          <rPr>
            <sz val="9"/>
            <color indexed="81"/>
            <rFont val="Tahoma"/>
            <family val="2"/>
          </rPr>
          <t xml:space="preserve">
</t>
        </r>
      </text>
    </comment>
    <comment ref="D31" authorId="0" shapeId="0" xr:uid="{1C060760-D378-4D24-800A-4A3D1E153FA1}">
      <text>
        <r>
          <rPr>
            <b/>
            <sz val="9"/>
            <color indexed="81"/>
            <rFont val="Tahoma"/>
            <family val="2"/>
          </rPr>
          <t xml:space="preserve">Enter frequency 
(eg. W/F/B/M/A)
</t>
        </r>
        <r>
          <rPr>
            <sz val="9"/>
            <color indexed="81"/>
            <rFont val="Tahoma"/>
            <family val="2"/>
          </rPr>
          <t xml:space="preserve">
</t>
        </r>
      </text>
    </comment>
    <comment ref="E31" authorId="0" shapeId="0" xr:uid="{7523AB8E-49A1-4CF7-87EE-49AC1464BF88}">
      <text>
        <r>
          <rPr>
            <b/>
            <sz val="9"/>
            <color indexed="81"/>
            <rFont val="Tahoma"/>
            <family val="2"/>
          </rPr>
          <t>Enter 
repayment amount</t>
        </r>
        <r>
          <rPr>
            <sz val="9"/>
            <color indexed="81"/>
            <rFont val="Tahoma"/>
            <family val="2"/>
          </rPr>
          <t xml:space="preserve">
</t>
        </r>
      </text>
    </comment>
    <comment ref="D32" authorId="0" shapeId="0" xr:uid="{996F2D14-C355-4778-8ED8-9CC7514E41C0}">
      <text>
        <r>
          <rPr>
            <b/>
            <sz val="9"/>
            <color indexed="81"/>
            <rFont val="Tahoma"/>
            <family val="2"/>
          </rPr>
          <t xml:space="preserve">Enter frequency 
(eg. W/F/B/M/A)
</t>
        </r>
        <r>
          <rPr>
            <sz val="9"/>
            <color indexed="81"/>
            <rFont val="Tahoma"/>
            <family val="2"/>
          </rPr>
          <t xml:space="preserve">
</t>
        </r>
      </text>
    </comment>
    <comment ref="E32" authorId="0" shapeId="0" xr:uid="{2A35A36F-D8AC-43A0-A741-B16ABBFFEF2E}">
      <text>
        <r>
          <rPr>
            <b/>
            <sz val="9"/>
            <color indexed="81"/>
            <rFont val="Tahoma"/>
            <family val="2"/>
          </rPr>
          <t xml:space="preserve">Enter 
rent or board
</t>
        </r>
      </text>
    </comment>
    <comment ref="D33" authorId="0" shapeId="0" xr:uid="{E4E7357A-8BFB-489E-80EC-C00AA01FD8D4}">
      <text>
        <r>
          <rPr>
            <b/>
            <sz val="9"/>
            <color indexed="81"/>
            <rFont val="Tahoma"/>
            <family val="2"/>
          </rPr>
          <t xml:space="preserve">Enter frequency 
(eg. W/F/B/M/A)
</t>
        </r>
        <r>
          <rPr>
            <sz val="9"/>
            <color indexed="81"/>
            <rFont val="Tahoma"/>
            <family val="2"/>
          </rPr>
          <t xml:space="preserve">
</t>
        </r>
      </text>
    </comment>
    <comment ref="E33" authorId="0" shapeId="0" xr:uid="{5EFE9318-1FFD-46AE-82FB-EA78B909D128}">
      <text>
        <r>
          <rPr>
            <b/>
            <sz val="9"/>
            <color indexed="81"/>
            <rFont val="Tahoma"/>
            <family val="2"/>
          </rPr>
          <t>Enter 
repayment amount</t>
        </r>
        <r>
          <rPr>
            <sz val="9"/>
            <color indexed="81"/>
            <rFont val="Tahoma"/>
            <family val="2"/>
          </rPr>
          <t xml:space="preserve">
</t>
        </r>
      </text>
    </comment>
    <comment ref="D34" authorId="0" shapeId="0" xr:uid="{8BCF961E-0965-4430-BC71-9FBC06FD5184}">
      <text>
        <r>
          <rPr>
            <b/>
            <sz val="9"/>
            <color indexed="81"/>
            <rFont val="Tahoma"/>
            <family val="2"/>
          </rPr>
          <t xml:space="preserve">Enter frequency 
(eg. W/F/B/M/A)
</t>
        </r>
        <r>
          <rPr>
            <sz val="9"/>
            <color indexed="81"/>
            <rFont val="Tahoma"/>
            <family val="2"/>
          </rPr>
          <t xml:space="preserve">
</t>
        </r>
      </text>
    </comment>
    <comment ref="E34" authorId="0" shapeId="0" xr:uid="{6D053F7F-F8A4-49A6-B501-3D801DA28296}">
      <text>
        <r>
          <rPr>
            <b/>
            <sz val="9"/>
            <color indexed="81"/>
            <rFont val="Tahoma"/>
            <family val="2"/>
          </rPr>
          <t>Enter 
repayment amount</t>
        </r>
        <r>
          <rPr>
            <sz val="9"/>
            <color indexed="81"/>
            <rFont val="Tahoma"/>
            <family val="2"/>
          </rPr>
          <t xml:space="preserve">
</t>
        </r>
      </text>
    </comment>
    <comment ref="E35" authorId="0" shapeId="0" xr:uid="{A44A0B91-D61C-470C-A3B6-61D2CBBD0AAD}">
      <text>
        <r>
          <rPr>
            <b/>
            <sz val="9"/>
            <color indexed="81"/>
            <rFont val="Tahoma"/>
            <family val="2"/>
          </rPr>
          <t>Enter credit limit</t>
        </r>
        <r>
          <rPr>
            <sz val="9"/>
            <color indexed="81"/>
            <rFont val="Tahoma"/>
            <family val="2"/>
          </rPr>
          <t xml:space="preserve">
</t>
        </r>
      </text>
    </comment>
    <comment ref="E36" authorId="0" shapeId="0" xr:uid="{98B9D172-F13F-4391-9C09-D683B6194BD3}">
      <text>
        <r>
          <rPr>
            <b/>
            <sz val="9"/>
            <color indexed="81"/>
            <rFont val="Tahoma"/>
            <family val="2"/>
          </rPr>
          <t>Enter credit limit</t>
        </r>
        <r>
          <rPr>
            <sz val="9"/>
            <color indexed="81"/>
            <rFont val="Tahoma"/>
            <family val="2"/>
          </rPr>
          <t xml:space="preserve">
</t>
        </r>
      </text>
    </comment>
    <comment ref="E37" authorId="0" shapeId="0" xr:uid="{BCB4E387-A0D1-4FE4-9A85-4F8A0D639ED0}">
      <text>
        <r>
          <rPr>
            <b/>
            <sz val="9"/>
            <color indexed="81"/>
            <rFont val="Tahoma"/>
            <family val="2"/>
          </rPr>
          <t>Enter credit limit</t>
        </r>
        <r>
          <rPr>
            <sz val="9"/>
            <color indexed="81"/>
            <rFont val="Tahoma"/>
            <family val="2"/>
          </rPr>
          <t xml:space="preserve">
</t>
        </r>
      </text>
    </comment>
    <comment ref="E38" authorId="0" shapeId="0" xr:uid="{CC5AF218-936D-4248-98E9-7115A8380D7C}">
      <text>
        <r>
          <rPr>
            <b/>
            <sz val="9"/>
            <color indexed="81"/>
            <rFont val="Tahoma"/>
            <family val="2"/>
          </rPr>
          <t>Enter credit limit</t>
        </r>
        <r>
          <rPr>
            <sz val="9"/>
            <color indexed="81"/>
            <rFont val="Tahoma"/>
            <family val="2"/>
          </rPr>
          <t xml:space="preserve">
</t>
        </r>
      </text>
    </comment>
    <comment ref="E39" authorId="0" shapeId="0" xr:uid="{F29AB5BF-5012-49FE-B10D-8EE681F790D2}">
      <text>
        <r>
          <rPr>
            <b/>
            <sz val="9"/>
            <color indexed="81"/>
            <rFont val="Tahoma"/>
            <family val="2"/>
          </rPr>
          <t>Enter credit limit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tturner</author>
    <author>Therese Turner</author>
  </authors>
  <commentList>
    <comment ref="K7" authorId="0" shapeId="0" xr:uid="{00000000-0006-0000-0100-000001000000}">
      <text>
        <r>
          <rPr>
            <b/>
            <sz val="9"/>
            <color indexed="81"/>
            <rFont val="Tahoma"/>
            <family val="2"/>
          </rPr>
          <t xml:space="preserve">Enter frequency 
(eg. W/F/B/M/A)
</t>
        </r>
        <r>
          <rPr>
            <sz val="9"/>
            <color indexed="81"/>
            <rFont val="Tahoma"/>
            <family val="2"/>
          </rPr>
          <t xml:space="preserve">
</t>
        </r>
      </text>
    </comment>
    <comment ref="L7" authorId="0" shapeId="0" xr:uid="{00000000-0006-0000-0100-000002000000}">
      <text>
        <r>
          <rPr>
            <b/>
            <sz val="9"/>
            <color indexed="81"/>
            <rFont val="Tahoma"/>
            <family val="2"/>
          </rPr>
          <t>Enter gross amount</t>
        </r>
        <r>
          <rPr>
            <sz val="9"/>
            <color indexed="81"/>
            <rFont val="Tahoma"/>
            <family val="2"/>
          </rPr>
          <t xml:space="preserve">
</t>
        </r>
      </text>
    </comment>
    <comment ref="C8" authorId="0" shapeId="0" xr:uid="{00000000-0006-0000-0100-000003000000}">
      <text>
        <r>
          <rPr>
            <b/>
            <sz val="9"/>
            <color indexed="81"/>
            <rFont val="Tahoma"/>
            <family val="2"/>
          </rPr>
          <t xml:space="preserve">Member No.
</t>
        </r>
        <r>
          <rPr>
            <sz val="9"/>
            <color indexed="81"/>
            <rFont val="Tahoma"/>
            <family val="2"/>
          </rPr>
          <t xml:space="preserve">
</t>
        </r>
      </text>
    </comment>
    <comment ref="D8" authorId="0" shapeId="0" xr:uid="{00000000-0006-0000-0100-000004000000}">
      <text>
        <r>
          <rPr>
            <b/>
            <sz val="9"/>
            <color indexed="81"/>
            <rFont val="Tahoma"/>
            <family val="2"/>
          </rPr>
          <t xml:space="preserve">Enter employer name or self employed
</t>
        </r>
        <r>
          <rPr>
            <sz val="9"/>
            <color indexed="81"/>
            <rFont val="Tahoma"/>
            <family val="2"/>
          </rPr>
          <t xml:space="preserve">
</t>
        </r>
      </text>
    </comment>
    <comment ref="F8" authorId="0" shapeId="0" xr:uid="{00000000-0006-0000-0100-000005000000}">
      <text>
        <r>
          <rPr>
            <b/>
            <sz val="9"/>
            <color indexed="81"/>
            <rFont val="Tahoma"/>
            <family val="2"/>
          </rPr>
          <t xml:space="preserve">Base salary 
</t>
        </r>
        <r>
          <rPr>
            <sz val="9"/>
            <color indexed="81"/>
            <rFont val="Tahoma"/>
            <family val="2"/>
          </rPr>
          <t xml:space="preserve">(before tax)
</t>
        </r>
      </text>
    </comment>
    <comment ref="G8" authorId="0" shapeId="0" xr:uid="{00000000-0006-0000-0100-000006000000}">
      <text>
        <r>
          <rPr>
            <b/>
            <sz val="9"/>
            <color indexed="81"/>
            <rFont val="Tahoma"/>
            <family val="2"/>
          </rPr>
          <t xml:space="preserve">Enter frequency 
(eg. W/F/B/M/A)
</t>
        </r>
        <r>
          <rPr>
            <sz val="9"/>
            <color indexed="81"/>
            <rFont val="Tahoma"/>
            <family val="2"/>
          </rPr>
          <t xml:space="preserve">
</t>
        </r>
      </text>
    </comment>
    <comment ref="K8" authorId="0" shapeId="0" xr:uid="{00000000-0006-0000-0100-000007000000}">
      <text>
        <r>
          <rPr>
            <b/>
            <sz val="9"/>
            <color indexed="81"/>
            <rFont val="Tahoma"/>
            <family val="2"/>
          </rPr>
          <t xml:space="preserve">Enter frequency 
(eg. W/F/B/M/A)
</t>
        </r>
        <r>
          <rPr>
            <sz val="9"/>
            <color indexed="81"/>
            <rFont val="Tahoma"/>
            <family val="2"/>
          </rPr>
          <t xml:space="preserve">
</t>
        </r>
      </text>
    </comment>
    <comment ref="L8" authorId="0" shapeId="0" xr:uid="{00000000-0006-0000-0100-000008000000}">
      <text>
        <r>
          <rPr>
            <b/>
            <sz val="9"/>
            <color indexed="81"/>
            <rFont val="Tahoma"/>
            <family val="2"/>
          </rPr>
          <t>Enter gross amount</t>
        </r>
        <r>
          <rPr>
            <sz val="9"/>
            <color indexed="81"/>
            <rFont val="Tahoma"/>
            <family val="2"/>
          </rPr>
          <t xml:space="preserve">
</t>
        </r>
      </text>
    </comment>
    <comment ref="C9" authorId="0" shapeId="0" xr:uid="{00000000-0006-0000-0100-000009000000}">
      <text>
        <r>
          <rPr>
            <b/>
            <sz val="9"/>
            <color indexed="81"/>
            <rFont val="Tahoma"/>
            <family val="2"/>
          </rPr>
          <t>Must be regular
(YTD average)</t>
        </r>
        <r>
          <rPr>
            <sz val="9"/>
            <color indexed="81"/>
            <rFont val="Tahoma"/>
            <family val="2"/>
          </rPr>
          <t xml:space="preserve">
</t>
        </r>
      </text>
    </comment>
    <comment ref="D9" authorId="0" shapeId="0" xr:uid="{00000000-0006-0000-0100-00000A000000}">
      <text>
        <r>
          <rPr>
            <b/>
            <sz val="9"/>
            <color indexed="81"/>
            <rFont val="Tahoma"/>
            <family val="2"/>
          </rPr>
          <t>Average YTD must be regular</t>
        </r>
      </text>
    </comment>
    <comment ref="F9" authorId="0" shapeId="0" xr:uid="{00000000-0006-0000-0100-00000B000000}">
      <text>
        <r>
          <rPr>
            <b/>
            <sz val="9"/>
            <color indexed="81"/>
            <rFont val="Tahoma"/>
            <family val="2"/>
          </rPr>
          <t xml:space="preserve">Enter average gross amount 
</t>
        </r>
        <r>
          <rPr>
            <sz val="9"/>
            <color indexed="81"/>
            <rFont val="Tahoma"/>
            <family val="2"/>
          </rPr>
          <t xml:space="preserve">(no need to discount)
</t>
        </r>
      </text>
    </comment>
    <comment ref="G9" authorId="0" shapeId="0" xr:uid="{00000000-0006-0000-0100-00000C000000}">
      <text>
        <r>
          <rPr>
            <b/>
            <sz val="9"/>
            <color indexed="81"/>
            <rFont val="Tahoma"/>
            <family val="2"/>
          </rPr>
          <t xml:space="preserve">Enter frequency 
(eg. W/F/B/M/A)
</t>
        </r>
        <r>
          <rPr>
            <sz val="9"/>
            <color indexed="81"/>
            <rFont val="Tahoma"/>
            <family val="2"/>
          </rPr>
          <t xml:space="preserve">
</t>
        </r>
      </text>
    </comment>
    <comment ref="K9" authorId="0" shapeId="0" xr:uid="{00000000-0006-0000-0100-00000D000000}">
      <text>
        <r>
          <rPr>
            <b/>
            <sz val="9"/>
            <color indexed="81"/>
            <rFont val="Tahoma"/>
            <family val="2"/>
          </rPr>
          <t xml:space="preserve">Enter frequency 
(eg. W/F/B/M/A)
</t>
        </r>
        <r>
          <rPr>
            <sz val="9"/>
            <color indexed="81"/>
            <rFont val="Tahoma"/>
            <family val="2"/>
          </rPr>
          <t xml:space="preserve">
</t>
        </r>
      </text>
    </comment>
    <comment ref="L9" authorId="0" shapeId="0" xr:uid="{00000000-0006-0000-0100-00000E000000}">
      <text>
        <r>
          <rPr>
            <b/>
            <sz val="9"/>
            <color indexed="81"/>
            <rFont val="Tahoma"/>
            <family val="2"/>
          </rPr>
          <t>Enter gross amount</t>
        </r>
        <r>
          <rPr>
            <sz val="9"/>
            <color indexed="81"/>
            <rFont val="Tahoma"/>
            <family val="2"/>
          </rPr>
          <t xml:space="preserve">
</t>
        </r>
      </text>
    </comment>
    <comment ref="C10" authorId="0" shapeId="0" xr:uid="{00000000-0006-0000-0100-00000F000000}">
      <text>
        <r>
          <rPr>
            <b/>
            <sz val="9"/>
            <color indexed="81"/>
            <rFont val="Tahoma"/>
            <family val="2"/>
          </rPr>
          <t>Must be more than 12 months employment</t>
        </r>
        <r>
          <rPr>
            <sz val="9"/>
            <color indexed="81"/>
            <rFont val="Tahoma"/>
            <family val="2"/>
          </rPr>
          <t xml:space="preserve">
</t>
        </r>
      </text>
    </comment>
    <comment ref="D10" authorId="0" shapeId="0" xr:uid="{00000000-0006-0000-0100-000010000000}">
      <text>
        <r>
          <rPr>
            <b/>
            <sz val="9"/>
            <color indexed="81"/>
            <rFont val="Tahoma"/>
            <family val="2"/>
          </rPr>
          <t>Enter employer name. 
Must be continuous employment.</t>
        </r>
        <r>
          <rPr>
            <sz val="9"/>
            <color indexed="81"/>
            <rFont val="Tahoma"/>
            <family val="2"/>
          </rPr>
          <t xml:space="preserve">
</t>
        </r>
      </text>
    </comment>
    <comment ref="F10" authorId="0" shapeId="0" xr:uid="{00000000-0006-0000-0100-000011000000}">
      <text>
        <r>
          <rPr>
            <b/>
            <sz val="9"/>
            <color indexed="81"/>
            <rFont val="Tahoma"/>
            <family val="2"/>
          </rPr>
          <t xml:space="preserve">Enter average gross amount 
</t>
        </r>
        <r>
          <rPr>
            <sz val="9"/>
            <color indexed="81"/>
            <rFont val="Tahoma"/>
            <family val="2"/>
          </rPr>
          <t xml:space="preserve">(no need to discount)
</t>
        </r>
      </text>
    </comment>
    <comment ref="G10" authorId="0" shapeId="0" xr:uid="{00000000-0006-0000-0100-000012000000}">
      <text>
        <r>
          <rPr>
            <b/>
            <sz val="9"/>
            <color indexed="81"/>
            <rFont val="Tahoma"/>
            <family val="2"/>
          </rPr>
          <t xml:space="preserve">Enter frequency 
(eg. W/F/B/M/A)
</t>
        </r>
        <r>
          <rPr>
            <sz val="9"/>
            <color indexed="81"/>
            <rFont val="Tahoma"/>
            <family val="2"/>
          </rPr>
          <t xml:space="preserve">
</t>
        </r>
      </text>
    </comment>
    <comment ref="C11" authorId="0" shapeId="0" xr:uid="{00000000-0006-0000-0100-000013000000}">
      <text>
        <r>
          <rPr>
            <b/>
            <sz val="9"/>
            <color indexed="81"/>
            <rFont val="Tahoma"/>
            <family val="2"/>
          </rPr>
          <t>Must be regular
(YTD average)</t>
        </r>
        <r>
          <rPr>
            <sz val="9"/>
            <color indexed="81"/>
            <rFont val="Tahoma"/>
            <family val="2"/>
          </rPr>
          <t xml:space="preserve">
</t>
        </r>
      </text>
    </comment>
    <comment ref="D11" authorId="0" shapeId="0" xr:uid="{00000000-0006-0000-0100-000014000000}">
      <text>
        <r>
          <rPr>
            <b/>
            <sz val="9"/>
            <color indexed="81"/>
            <rFont val="Tahoma"/>
            <family val="2"/>
          </rPr>
          <t>Must be contracted and paid on a regular basis.</t>
        </r>
        <r>
          <rPr>
            <sz val="9"/>
            <color indexed="81"/>
            <rFont val="Tahoma"/>
            <family val="2"/>
          </rPr>
          <t xml:space="preserve">
</t>
        </r>
      </text>
    </comment>
    <comment ref="F11" authorId="0" shapeId="0" xr:uid="{00000000-0006-0000-0100-000015000000}">
      <text>
        <r>
          <rPr>
            <b/>
            <sz val="9"/>
            <color indexed="81"/>
            <rFont val="Tahoma"/>
            <family val="2"/>
          </rPr>
          <t xml:space="preserve">Enter average gross amount 
</t>
        </r>
        <r>
          <rPr>
            <sz val="9"/>
            <color indexed="81"/>
            <rFont val="Tahoma"/>
            <family val="2"/>
          </rPr>
          <t xml:space="preserve">(no need to discount)
</t>
        </r>
      </text>
    </comment>
    <comment ref="G11" authorId="0" shapeId="0" xr:uid="{00000000-0006-0000-0100-000016000000}">
      <text>
        <r>
          <rPr>
            <b/>
            <sz val="9"/>
            <color indexed="81"/>
            <rFont val="Tahoma"/>
            <family val="2"/>
          </rPr>
          <t xml:space="preserve">Enter frequency 
(eg. W/F/B/M/A)
</t>
        </r>
        <r>
          <rPr>
            <sz val="9"/>
            <color indexed="81"/>
            <rFont val="Tahoma"/>
            <family val="2"/>
          </rPr>
          <t xml:space="preserve">
</t>
        </r>
      </text>
    </comment>
    <comment ref="C12" authorId="0" shapeId="0" xr:uid="{CEB50D5C-CADD-482A-BFC8-98C48D8E9188}">
      <text>
        <r>
          <rPr>
            <b/>
            <sz val="9"/>
            <color indexed="81"/>
            <rFont val="Tahoma"/>
            <family val="2"/>
          </rPr>
          <t>100% Condition of employment
80% Other allowances</t>
        </r>
        <r>
          <rPr>
            <sz val="9"/>
            <color indexed="81"/>
            <rFont val="Tahoma"/>
            <family val="2"/>
          </rPr>
          <t xml:space="preserve">
</t>
        </r>
      </text>
    </comment>
    <comment ref="D12" authorId="0" shapeId="0" xr:uid="{00000000-0006-0000-0100-000018000000}">
      <text>
        <r>
          <rPr>
            <b/>
            <sz val="9"/>
            <color indexed="81"/>
            <rFont val="Tahoma"/>
            <family val="2"/>
          </rPr>
          <t>Must be condition of employment</t>
        </r>
        <r>
          <rPr>
            <sz val="9"/>
            <color indexed="81"/>
            <rFont val="Tahoma"/>
            <family val="2"/>
          </rPr>
          <t xml:space="preserve">
</t>
        </r>
      </text>
    </comment>
    <comment ref="F12" authorId="0" shapeId="0" xr:uid="{00000000-0006-0000-0100-000019000000}">
      <text>
        <r>
          <rPr>
            <b/>
            <sz val="9"/>
            <color indexed="81"/>
            <rFont val="Tahoma"/>
            <family val="2"/>
          </rPr>
          <t xml:space="preserve">Enter average gross amount 
</t>
        </r>
        <r>
          <rPr>
            <sz val="9"/>
            <color indexed="81"/>
            <rFont val="Tahoma"/>
            <family val="2"/>
          </rPr>
          <t xml:space="preserve">(no need to discount)
</t>
        </r>
      </text>
    </comment>
    <comment ref="G12" authorId="0" shapeId="0" xr:uid="{00000000-0006-0000-0100-00001A000000}">
      <text>
        <r>
          <rPr>
            <b/>
            <sz val="9"/>
            <color indexed="81"/>
            <rFont val="Tahoma"/>
            <family val="2"/>
          </rPr>
          <t xml:space="preserve">Enter frequency 
(eg. W/F/B/M/A)
</t>
        </r>
        <r>
          <rPr>
            <sz val="9"/>
            <color indexed="81"/>
            <rFont val="Tahoma"/>
            <family val="2"/>
          </rPr>
          <t xml:space="preserve">
</t>
        </r>
      </text>
    </comment>
    <comment ref="J12" authorId="0" shapeId="0" xr:uid="{00000000-0006-0000-0100-00001B000000}">
      <text>
        <r>
          <rPr>
            <b/>
            <sz val="9"/>
            <color indexed="81"/>
            <rFont val="Tahoma"/>
            <family val="2"/>
          </rPr>
          <t>Enter gross amount</t>
        </r>
        <r>
          <rPr>
            <sz val="9"/>
            <color indexed="81"/>
            <rFont val="Tahoma"/>
            <family val="2"/>
          </rPr>
          <t xml:space="preserve">
(no need to discount)</t>
        </r>
      </text>
    </comment>
    <comment ref="K12" authorId="0" shapeId="0" xr:uid="{00000000-0006-0000-0100-00001C000000}">
      <text>
        <r>
          <rPr>
            <b/>
            <sz val="9"/>
            <color indexed="81"/>
            <rFont val="Tahoma"/>
            <family val="2"/>
          </rPr>
          <t xml:space="preserve">Enter frequency 
(eg. W/F/B/M/A)
</t>
        </r>
        <r>
          <rPr>
            <sz val="9"/>
            <color indexed="81"/>
            <rFont val="Tahoma"/>
            <family val="2"/>
          </rPr>
          <t xml:space="preserve">
</t>
        </r>
      </text>
    </comment>
    <comment ref="L12" authorId="0" shapeId="0" xr:uid="{00000000-0006-0000-0100-00001D000000}">
      <text>
        <r>
          <rPr>
            <b/>
            <sz val="9"/>
            <color indexed="81"/>
            <rFont val="Tahoma"/>
            <family val="2"/>
          </rPr>
          <t>Enter suburb</t>
        </r>
        <r>
          <rPr>
            <sz val="9"/>
            <color indexed="81"/>
            <rFont val="Tahoma"/>
            <family val="2"/>
          </rPr>
          <t xml:space="preserve">
</t>
        </r>
      </text>
    </comment>
    <comment ref="C13" authorId="0" shapeId="0" xr:uid="{00000000-0006-0000-0100-00001E000000}">
      <text>
        <r>
          <rPr>
            <b/>
            <sz val="9"/>
            <color indexed="81"/>
            <rFont val="Tahoma"/>
            <family val="2"/>
          </rPr>
          <t>50% current year only
80% avg last 2 years</t>
        </r>
        <r>
          <rPr>
            <sz val="9"/>
            <color indexed="81"/>
            <rFont val="Tahoma"/>
            <family val="2"/>
          </rPr>
          <t xml:space="preserve">
</t>
        </r>
      </text>
    </comment>
    <comment ref="D13" authorId="0" shapeId="0" xr:uid="{00000000-0006-0000-0100-00001F000000}">
      <text>
        <r>
          <rPr>
            <b/>
            <sz val="9"/>
            <color indexed="81"/>
            <rFont val="Tahoma"/>
            <family val="2"/>
          </rPr>
          <t>50% current year only
80% avg last 2 years</t>
        </r>
        <r>
          <rPr>
            <sz val="9"/>
            <color indexed="81"/>
            <rFont val="Tahoma"/>
            <family val="2"/>
          </rPr>
          <t xml:space="preserve">
</t>
        </r>
      </text>
    </comment>
    <comment ref="F13" authorId="0" shapeId="0" xr:uid="{00000000-0006-0000-0100-000020000000}">
      <text>
        <r>
          <rPr>
            <b/>
            <sz val="9"/>
            <color indexed="81"/>
            <rFont val="Tahoma"/>
            <family val="2"/>
          </rPr>
          <t xml:space="preserve">Enter average gross amount 
</t>
        </r>
        <r>
          <rPr>
            <sz val="9"/>
            <color indexed="81"/>
            <rFont val="Tahoma"/>
            <family val="2"/>
          </rPr>
          <t xml:space="preserve">(no need to discount)
</t>
        </r>
      </text>
    </comment>
    <comment ref="G13" authorId="0" shapeId="0" xr:uid="{00000000-0006-0000-0100-000021000000}">
      <text>
        <r>
          <rPr>
            <b/>
            <sz val="9"/>
            <color indexed="81"/>
            <rFont val="Tahoma"/>
            <family val="2"/>
          </rPr>
          <t xml:space="preserve">Enter frequency 
(eg. W/F/B/M/A)
</t>
        </r>
        <r>
          <rPr>
            <sz val="9"/>
            <color indexed="81"/>
            <rFont val="Tahoma"/>
            <family val="2"/>
          </rPr>
          <t xml:space="preserve">
</t>
        </r>
      </text>
    </comment>
    <comment ref="J13" authorId="0" shapeId="0" xr:uid="{00000000-0006-0000-0100-000022000000}">
      <text>
        <r>
          <rPr>
            <b/>
            <sz val="9"/>
            <color indexed="81"/>
            <rFont val="Tahoma"/>
            <family val="2"/>
          </rPr>
          <t>Enter gross amount</t>
        </r>
        <r>
          <rPr>
            <sz val="9"/>
            <color indexed="81"/>
            <rFont val="Tahoma"/>
            <family val="2"/>
          </rPr>
          <t xml:space="preserve">
(no need to discount)</t>
        </r>
      </text>
    </comment>
    <comment ref="K13" authorId="0" shapeId="0" xr:uid="{00000000-0006-0000-0100-000023000000}">
      <text>
        <r>
          <rPr>
            <b/>
            <sz val="9"/>
            <color indexed="81"/>
            <rFont val="Tahoma"/>
            <family val="2"/>
          </rPr>
          <t xml:space="preserve">Enter frequency 
(eg. W/F/B/M/A)
</t>
        </r>
        <r>
          <rPr>
            <sz val="9"/>
            <color indexed="81"/>
            <rFont val="Tahoma"/>
            <family val="2"/>
          </rPr>
          <t xml:space="preserve">
</t>
        </r>
      </text>
    </comment>
    <comment ref="L13" authorId="0" shapeId="0" xr:uid="{00000000-0006-0000-0100-000024000000}">
      <text>
        <r>
          <rPr>
            <b/>
            <sz val="9"/>
            <color indexed="81"/>
            <rFont val="Tahoma"/>
            <family val="2"/>
          </rPr>
          <t>Enter suburb</t>
        </r>
        <r>
          <rPr>
            <sz val="9"/>
            <color indexed="81"/>
            <rFont val="Tahoma"/>
            <family val="2"/>
          </rPr>
          <t xml:space="preserve">
</t>
        </r>
      </text>
    </comment>
    <comment ref="C14" authorId="0" shapeId="0" xr:uid="{00000000-0006-0000-0100-000025000000}">
      <text>
        <r>
          <rPr>
            <b/>
            <sz val="9"/>
            <color indexed="81"/>
            <rFont val="Tahoma"/>
            <family val="2"/>
          </rPr>
          <t xml:space="preserve">Member No.
</t>
        </r>
        <r>
          <rPr>
            <sz val="9"/>
            <color indexed="81"/>
            <rFont val="Tahoma"/>
            <family val="2"/>
          </rPr>
          <t xml:space="preserve">
</t>
        </r>
      </text>
    </comment>
    <comment ref="D14" authorId="0" shapeId="0" xr:uid="{00000000-0006-0000-0100-000026000000}">
      <text>
        <r>
          <rPr>
            <b/>
            <sz val="9"/>
            <color indexed="81"/>
            <rFont val="Tahoma"/>
            <family val="2"/>
          </rPr>
          <t xml:space="preserve">Enter employer name or self employed
</t>
        </r>
        <r>
          <rPr>
            <sz val="9"/>
            <color indexed="81"/>
            <rFont val="Tahoma"/>
            <family val="2"/>
          </rPr>
          <t xml:space="preserve">
</t>
        </r>
      </text>
    </comment>
    <comment ref="F14" authorId="0" shapeId="0" xr:uid="{00000000-0006-0000-0100-000027000000}">
      <text>
        <r>
          <rPr>
            <b/>
            <sz val="9"/>
            <color indexed="81"/>
            <rFont val="Tahoma"/>
            <family val="2"/>
          </rPr>
          <t xml:space="preserve">Base salary 
</t>
        </r>
        <r>
          <rPr>
            <sz val="9"/>
            <color indexed="81"/>
            <rFont val="Tahoma"/>
            <family val="2"/>
          </rPr>
          <t xml:space="preserve">(before tax)
</t>
        </r>
      </text>
    </comment>
    <comment ref="G14" authorId="0" shapeId="0" xr:uid="{00000000-0006-0000-0100-000028000000}">
      <text>
        <r>
          <rPr>
            <b/>
            <sz val="9"/>
            <color indexed="81"/>
            <rFont val="Tahoma"/>
            <family val="2"/>
          </rPr>
          <t xml:space="preserve">Enter frequency 
(eg. W/F/B/M/A)
</t>
        </r>
        <r>
          <rPr>
            <sz val="9"/>
            <color indexed="81"/>
            <rFont val="Tahoma"/>
            <family val="2"/>
          </rPr>
          <t xml:space="preserve">
</t>
        </r>
      </text>
    </comment>
    <comment ref="C15" authorId="0" shapeId="0" xr:uid="{00000000-0006-0000-0100-000029000000}">
      <text>
        <r>
          <rPr>
            <b/>
            <sz val="9"/>
            <color indexed="81"/>
            <rFont val="Tahoma"/>
            <family val="2"/>
          </rPr>
          <t>Must be regular
(YTD average)</t>
        </r>
        <r>
          <rPr>
            <sz val="9"/>
            <color indexed="81"/>
            <rFont val="Tahoma"/>
            <family val="2"/>
          </rPr>
          <t xml:space="preserve">
</t>
        </r>
      </text>
    </comment>
    <comment ref="D15" authorId="0" shapeId="0" xr:uid="{00000000-0006-0000-0100-00002A000000}">
      <text>
        <r>
          <rPr>
            <b/>
            <sz val="9"/>
            <color indexed="81"/>
            <rFont val="Tahoma"/>
            <family val="2"/>
          </rPr>
          <t>Average YTD must be regular</t>
        </r>
      </text>
    </comment>
    <comment ref="F15" authorId="0" shapeId="0" xr:uid="{00000000-0006-0000-0100-00002B000000}">
      <text>
        <r>
          <rPr>
            <b/>
            <sz val="9"/>
            <color indexed="81"/>
            <rFont val="Tahoma"/>
            <family val="2"/>
          </rPr>
          <t xml:space="preserve">Enter average gross amount 
</t>
        </r>
        <r>
          <rPr>
            <sz val="9"/>
            <color indexed="81"/>
            <rFont val="Tahoma"/>
            <family val="2"/>
          </rPr>
          <t xml:space="preserve">(no need to discount)
</t>
        </r>
      </text>
    </comment>
    <comment ref="G15" authorId="0" shapeId="0" xr:uid="{00000000-0006-0000-0100-00002C000000}">
      <text>
        <r>
          <rPr>
            <b/>
            <sz val="9"/>
            <color indexed="81"/>
            <rFont val="Tahoma"/>
            <family val="2"/>
          </rPr>
          <t xml:space="preserve">Enter frequency 
(eg. W/F/B/M/A)
</t>
        </r>
        <r>
          <rPr>
            <sz val="9"/>
            <color indexed="81"/>
            <rFont val="Tahoma"/>
            <family val="2"/>
          </rPr>
          <t xml:space="preserve">
</t>
        </r>
      </text>
    </comment>
    <comment ref="C16" authorId="0" shapeId="0" xr:uid="{00000000-0006-0000-0100-00002D000000}">
      <text>
        <r>
          <rPr>
            <b/>
            <sz val="9"/>
            <color indexed="81"/>
            <rFont val="Tahoma"/>
            <family val="2"/>
          </rPr>
          <t>Must be more than 12 months employment</t>
        </r>
        <r>
          <rPr>
            <sz val="9"/>
            <color indexed="81"/>
            <rFont val="Tahoma"/>
            <family val="2"/>
          </rPr>
          <t xml:space="preserve">
</t>
        </r>
      </text>
    </comment>
    <comment ref="D16" authorId="0" shapeId="0" xr:uid="{00000000-0006-0000-0100-00002E000000}">
      <text>
        <r>
          <rPr>
            <b/>
            <sz val="9"/>
            <color indexed="81"/>
            <rFont val="Tahoma"/>
            <family val="2"/>
          </rPr>
          <t>Enter employer name. 
Must be continuous employment.</t>
        </r>
        <r>
          <rPr>
            <sz val="9"/>
            <color indexed="81"/>
            <rFont val="Tahoma"/>
            <family val="2"/>
          </rPr>
          <t xml:space="preserve">
</t>
        </r>
      </text>
    </comment>
    <comment ref="F16" authorId="0" shapeId="0" xr:uid="{00000000-0006-0000-0100-00002F000000}">
      <text>
        <r>
          <rPr>
            <b/>
            <sz val="9"/>
            <color indexed="81"/>
            <rFont val="Tahoma"/>
            <family val="2"/>
          </rPr>
          <t xml:space="preserve">Enter average gross amount 
</t>
        </r>
        <r>
          <rPr>
            <sz val="9"/>
            <color indexed="81"/>
            <rFont val="Tahoma"/>
            <family val="2"/>
          </rPr>
          <t xml:space="preserve">(no need to discount)
</t>
        </r>
      </text>
    </comment>
    <comment ref="G16" authorId="0" shapeId="0" xr:uid="{00000000-0006-0000-0100-000030000000}">
      <text>
        <r>
          <rPr>
            <b/>
            <sz val="9"/>
            <color indexed="81"/>
            <rFont val="Tahoma"/>
            <family val="2"/>
          </rPr>
          <t xml:space="preserve">Enter frequency 
(eg. W/F/B/M/A)
</t>
        </r>
        <r>
          <rPr>
            <sz val="9"/>
            <color indexed="81"/>
            <rFont val="Tahoma"/>
            <family val="2"/>
          </rPr>
          <t xml:space="preserve">
</t>
        </r>
      </text>
    </comment>
    <comment ref="J16" authorId="0" shapeId="0" xr:uid="{00000000-0006-0000-0100-000031000000}">
      <text>
        <r>
          <rPr>
            <b/>
            <sz val="9"/>
            <color indexed="81"/>
            <rFont val="Tahoma"/>
            <family val="2"/>
          </rPr>
          <t>Enter number of adults (max 2)</t>
        </r>
        <r>
          <rPr>
            <sz val="9"/>
            <color indexed="81"/>
            <rFont val="Tahoma"/>
            <family val="2"/>
          </rPr>
          <t xml:space="preserve">
</t>
        </r>
      </text>
    </comment>
    <comment ref="C17" authorId="0" shapeId="0" xr:uid="{00000000-0006-0000-0100-000032000000}">
      <text>
        <r>
          <rPr>
            <b/>
            <sz val="9"/>
            <color indexed="81"/>
            <rFont val="Tahoma"/>
            <family val="2"/>
          </rPr>
          <t>Must be regular
(YTD average)</t>
        </r>
        <r>
          <rPr>
            <sz val="9"/>
            <color indexed="81"/>
            <rFont val="Tahoma"/>
            <family val="2"/>
          </rPr>
          <t xml:space="preserve">
</t>
        </r>
      </text>
    </comment>
    <comment ref="D17" authorId="0" shapeId="0" xr:uid="{00000000-0006-0000-0100-000033000000}">
      <text>
        <r>
          <rPr>
            <b/>
            <sz val="9"/>
            <color indexed="81"/>
            <rFont val="Tahoma"/>
            <family val="2"/>
          </rPr>
          <t>Must be contracted and paid on a regular basis.</t>
        </r>
        <r>
          <rPr>
            <sz val="9"/>
            <color indexed="81"/>
            <rFont val="Tahoma"/>
            <family val="2"/>
          </rPr>
          <t xml:space="preserve">
</t>
        </r>
      </text>
    </comment>
    <comment ref="F17" authorId="0" shapeId="0" xr:uid="{00000000-0006-0000-0100-000034000000}">
      <text>
        <r>
          <rPr>
            <b/>
            <sz val="9"/>
            <color indexed="81"/>
            <rFont val="Tahoma"/>
            <family val="2"/>
          </rPr>
          <t xml:space="preserve">Enter average gross amount 
</t>
        </r>
        <r>
          <rPr>
            <sz val="9"/>
            <color indexed="81"/>
            <rFont val="Tahoma"/>
            <family val="2"/>
          </rPr>
          <t xml:space="preserve">(no need to discount)
</t>
        </r>
      </text>
    </comment>
    <comment ref="G17" authorId="0" shapeId="0" xr:uid="{00000000-0006-0000-0100-000035000000}">
      <text>
        <r>
          <rPr>
            <b/>
            <sz val="9"/>
            <color indexed="81"/>
            <rFont val="Tahoma"/>
            <family val="2"/>
          </rPr>
          <t xml:space="preserve">Enter frequency 
(eg. W/F/B/M/A)
</t>
        </r>
        <r>
          <rPr>
            <sz val="9"/>
            <color indexed="81"/>
            <rFont val="Tahoma"/>
            <family val="2"/>
          </rPr>
          <t xml:space="preserve">
</t>
        </r>
      </text>
    </comment>
    <comment ref="J17" authorId="0" shapeId="0" xr:uid="{00000000-0006-0000-0100-000036000000}">
      <text>
        <r>
          <rPr>
            <b/>
            <sz val="9"/>
            <color indexed="81"/>
            <rFont val="Tahoma"/>
            <family val="2"/>
          </rPr>
          <t>Enter number of dependent children (max 6)</t>
        </r>
        <r>
          <rPr>
            <sz val="9"/>
            <color indexed="81"/>
            <rFont val="Tahoma"/>
            <family val="2"/>
          </rPr>
          <t xml:space="preserve">
</t>
        </r>
      </text>
    </comment>
    <comment ref="C18" authorId="0" shapeId="0" xr:uid="{00000000-0006-0000-0100-000037000000}">
      <text>
        <r>
          <rPr>
            <b/>
            <sz val="9"/>
            <color indexed="81"/>
            <rFont val="Tahoma"/>
            <family val="2"/>
          </rPr>
          <t>100% Condition of employment
80% Other allowances</t>
        </r>
        <r>
          <rPr>
            <sz val="9"/>
            <color indexed="81"/>
            <rFont val="Tahoma"/>
            <family val="2"/>
          </rPr>
          <t xml:space="preserve">
</t>
        </r>
      </text>
    </comment>
    <comment ref="D18" authorId="0" shapeId="0" xr:uid="{00000000-0006-0000-0100-000038000000}">
      <text>
        <r>
          <rPr>
            <b/>
            <sz val="9"/>
            <color indexed="81"/>
            <rFont val="Tahoma"/>
            <family val="2"/>
          </rPr>
          <t>Must be condition of employment</t>
        </r>
        <r>
          <rPr>
            <sz val="9"/>
            <color indexed="81"/>
            <rFont val="Tahoma"/>
            <family val="2"/>
          </rPr>
          <t xml:space="preserve">
</t>
        </r>
      </text>
    </comment>
    <comment ref="F18" authorId="0" shapeId="0" xr:uid="{00000000-0006-0000-0100-000039000000}">
      <text>
        <r>
          <rPr>
            <b/>
            <sz val="9"/>
            <color indexed="81"/>
            <rFont val="Tahoma"/>
            <family val="2"/>
          </rPr>
          <t xml:space="preserve">Enter average gross amount 
</t>
        </r>
        <r>
          <rPr>
            <sz val="9"/>
            <color indexed="81"/>
            <rFont val="Tahoma"/>
            <family val="2"/>
          </rPr>
          <t xml:space="preserve">(no need to discount)
</t>
        </r>
      </text>
    </comment>
    <comment ref="G18" authorId="0" shapeId="0" xr:uid="{00000000-0006-0000-0100-00003A000000}">
      <text>
        <r>
          <rPr>
            <b/>
            <sz val="9"/>
            <color indexed="81"/>
            <rFont val="Tahoma"/>
            <family val="2"/>
          </rPr>
          <t xml:space="preserve">Enter frequency 
(eg. W/F/B/M/A)
</t>
        </r>
        <r>
          <rPr>
            <sz val="9"/>
            <color indexed="81"/>
            <rFont val="Tahoma"/>
            <family val="2"/>
          </rPr>
          <t xml:space="preserve">
</t>
        </r>
      </text>
    </comment>
    <comment ref="J18" authorId="0" shapeId="0" xr:uid="{00000000-0006-0000-0100-00003B000000}">
      <text>
        <r>
          <rPr>
            <b/>
            <sz val="9"/>
            <color indexed="81"/>
            <rFont val="Tahoma"/>
            <family val="2"/>
          </rPr>
          <t xml:space="preserve">Only applies if applicant is over 30 years of age
</t>
        </r>
      </text>
    </comment>
    <comment ref="L18" authorId="0" shapeId="0" xr:uid="{00000000-0006-0000-0100-00003C000000}">
      <text>
        <r>
          <rPr>
            <b/>
            <sz val="9"/>
            <color indexed="81"/>
            <rFont val="Tahoma"/>
            <family val="2"/>
          </rPr>
          <t>Applicant disclosed living expenses</t>
        </r>
        <r>
          <rPr>
            <sz val="9"/>
            <color indexed="81"/>
            <rFont val="Tahoma"/>
            <family val="2"/>
          </rPr>
          <t xml:space="preserve">
</t>
        </r>
      </text>
    </comment>
    <comment ref="C19" authorId="0" shapeId="0" xr:uid="{DF54B45E-71D8-4745-88C4-61C542C6822D}">
      <text>
        <r>
          <rPr>
            <b/>
            <sz val="9"/>
            <color indexed="81"/>
            <rFont val="Tahoma"/>
            <family val="2"/>
          </rPr>
          <t>50% current year only
80% avg last 2 years</t>
        </r>
        <r>
          <rPr>
            <sz val="9"/>
            <color indexed="81"/>
            <rFont val="Tahoma"/>
            <family val="2"/>
          </rPr>
          <t xml:space="preserve">
</t>
        </r>
      </text>
    </comment>
    <comment ref="D19" authorId="0" shapeId="0" xr:uid="{00000000-0006-0000-0100-00003E000000}">
      <text>
        <r>
          <rPr>
            <b/>
            <sz val="9"/>
            <color indexed="81"/>
            <rFont val="Tahoma"/>
            <family val="2"/>
          </rPr>
          <t>50% current year only
80% avg last 2 years</t>
        </r>
        <r>
          <rPr>
            <sz val="9"/>
            <color indexed="81"/>
            <rFont val="Tahoma"/>
            <family val="2"/>
          </rPr>
          <t xml:space="preserve">
</t>
        </r>
      </text>
    </comment>
    <comment ref="F19" authorId="0" shapeId="0" xr:uid="{00000000-0006-0000-0100-00003F000000}">
      <text>
        <r>
          <rPr>
            <b/>
            <sz val="9"/>
            <color indexed="81"/>
            <rFont val="Tahoma"/>
            <family val="2"/>
          </rPr>
          <t xml:space="preserve">Enter average gross amount 
</t>
        </r>
        <r>
          <rPr>
            <sz val="9"/>
            <color indexed="81"/>
            <rFont val="Tahoma"/>
            <family val="2"/>
          </rPr>
          <t xml:space="preserve">(no need to discount)
</t>
        </r>
      </text>
    </comment>
    <comment ref="G19" authorId="0" shapeId="0" xr:uid="{00000000-0006-0000-0100-000040000000}">
      <text>
        <r>
          <rPr>
            <b/>
            <sz val="9"/>
            <color indexed="81"/>
            <rFont val="Tahoma"/>
            <family val="2"/>
          </rPr>
          <t xml:space="preserve">Enter frequency 
(eg. W/F/B/M/A)
</t>
        </r>
        <r>
          <rPr>
            <sz val="9"/>
            <color indexed="81"/>
            <rFont val="Tahoma"/>
            <family val="2"/>
          </rPr>
          <t xml:space="preserve">
</t>
        </r>
      </text>
    </comment>
    <comment ref="J19" authorId="0" shapeId="0" xr:uid="{50526573-AFA8-43AE-82C9-5EA0D37A78BC}">
      <text>
        <r>
          <rPr>
            <b/>
            <sz val="9"/>
            <color indexed="81"/>
            <rFont val="Tahoma"/>
            <family val="2"/>
          </rPr>
          <t>Is proposed loan LMI insured?</t>
        </r>
      </text>
    </comment>
    <comment ref="L19" authorId="0" shapeId="0" xr:uid="{10CA9B97-427C-45DA-9C64-C263D4CFAAA9}">
      <text>
        <r>
          <rPr>
            <b/>
            <sz val="9"/>
            <color indexed="81"/>
            <rFont val="Tahoma"/>
            <family val="2"/>
          </rPr>
          <t>MOVE assessed living expenses</t>
        </r>
        <r>
          <rPr>
            <sz val="9"/>
            <color indexed="81"/>
            <rFont val="Tahoma"/>
            <family val="2"/>
          </rPr>
          <t xml:space="preserve">
</t>
        </r>
      </text>
    </comment>
    <comment ref="J20" authorId="0" shapeId="0" xr:uid="{00000000-0006-0000-0100-000041000000}">
      <text>
        <r>
          <rPr>
            <b/>
            <sz val="9"/>
            <color indexed="81"/>
            <rFont val="Tahoma"/>
            <family val="2"/>
          </rPr>
          <t xml:space="preserve">Enter residential location. </t>
        </r>
        <r>
          <rPr>
            <sz val="9"/>
            <color indexed="81"/>
            <rFont val="Tahoma"/>
            <family val="2"/>
          </rPr>
          <t xml:space="preserve">(Refer to Geographic Class Tab for more assistance)
</t>
        </r>
      </text>
    </comment>
    <comment ref="C24" authorId="1" shapeId="0" xr:uid="{00000000-0006-0000-0100-000042000000}">
      <text>
        <r>
          <rPr>
            <b/>
            <sz val="9"/>
            <color indexed="81"/>
            <rFont val="Tahoma"/>
            <family val="2"/>
          </rPr>
          <t>Total loan amount including fees, insurance and available redraw</t>
        </r>
        <r>
          <rPr>
            <sz val="9"/>
            <color indexed="81"/>
            <rFont val="Tahoma"/>
            <family val="2"/>
          </rPr>
          <t xml:space="preserve">
</t>
        </r>
      </text>
    </comment>
    <comment ref="G24" authorId="0" shapeId="0" xr:uid="{00000000-0006-0000-0100-000043000000}">
      <text>
        <r>
          <rPr>
            <b/>
            <sz val="9"/>
            <color indexed="81"/>
            <rFont val="Tahoma"/>
            <family val="2"/>
          </rPr>
          <t>Term of loan
(exclude interest only periods)</t>
        </r>
      </text>
    </comment>
    <comment ref="C25" authorId="1" shapeId="0" xr:uid="{00000000-0006-0000-0100-000045000000}">
      <text>
        <r>
          <rPr>
            <b/>
            <sz val="9"/>
            <color indexed="81"/>
            <rFont val="Tahoma"/>
            <family val="2"/>
          </rPr>
          <t>Include loan amount and any available redraw amount</t>
        </r>
        <r>
          <rPr>
            <sz val="9"/>
            <color indexed="81"/>
            <rFont val="Tahoma"/>
            <family val="2"/>
          </rPr>
          <t xml:space="preserve">
</t>
        </r>
      </text>
    </comment>
    <comment ref="E25" authorId="0" shapeId="0" xr:uid="{00000000-0006-0000-0100-000046000000}">
      <text>
        <r>
          <rPr>
            <b/>
            <sz val="9"/>
            <color indexed="81"/>
            <rFont val="Tahoma"/>
            <family val="2"/>
          </rPr>
          <t xml:space="preserve">Enter interest rate
</t>
        </r>
        <r>
          <rPr>
            <sz val="9"/>
            <color indexed="81"/>
            <rFont val="Tahoma"/>
            <family val="2"/>
          </rPr>
          <t xml:space="preserve">
</t>
        </r>
      </text>
    </comment>
    <comment ref="C26" authorId="1" shapeId="0" xr:uid="{00000000-0006-0000-0100-000047000000}">
      <text>
        <r>
          <rPr>
            <b/>
            <sz val="9"/>
            <color indexed="81"/>
            <rFont val="Tahoma"/>
            <family val="2"/>
          </rPr>
          <t>Include loan amount and any available redraw amount</t>
        </r>
        <r>
          <rPr>
            <sz val="9"/>
            <color indexed="81"/>
            <rFont val="Tahoma"/>
            <family val="2"/>
          </rPr>
          <t xml:space="preserve">
</t>
        </r>
      </text>
    </comment>
    <comment ref="E26" authorId="0" shapeId="0" xr:uid="{00000000-0006-0000-0100-000048000000}">
      <text>
        <r>
          <rPr>
            <b/>
            <sz val="9"/>
            <color indexed="81"/>
            <rFont val="Tahoma"/>
            <family val="2"/>
          </rPr>
          <t xml:space="preserve">Enter interest rate
</t>
        </r>
        <r>
          <rPr>
            <sz val="9"/>
            <color indexed="81"/>
            <rFont val="Tahoma"/>
            <family val="2"/>
          </rPr>
          <t xml:space="preserve">
</t>
        </r>
      </text>
    </comment>
    <comment ref="C27" authorId="1" shapeId="0" xr:uid="{00000000-0006-0000-0100-000049000000}">
      <text>
        <r>
          <rPr>
            <b/>
            <sz val="9"/>
            <color indexed="81"/>
            <rFont val="Tahoma"/>
            <family val="2"/>
          </rPr>
          <t>Include loan amount and any available redraw amount</t>
        </r>
        <r>
          <rPr>
            <sz val="9"/>
            <color indexed="81"/>
            <rFont val="Tahoma"/>
            <family val="2"/>
          </rPr>
          <t xml:space="preserve">
</t>
        </r>
      </text>
    </comment>
    <comment ref="E27" authorId="0" shapeId="0" xr:uid="{00000000-0006-0000-0100-00004A000000}">
      <text>
        <r>
          <rPr>
            <b/>
            <sz val="9"/>
            <color indexed="81"/>
            <rFont val="Tahoma"/>
            <family val="2"/>
          </rPr>
          <t xml:space="preserve">Enter interest rate
</t>
        </r>
        <r>
          <rPr>
            <sz val="9"/>
            <color indexed="81"/>
            <rFont val="Tahoma"/>
            <family val="2"/>
          </rPr>
          <t xml:space="preserve">
</t>
        </r>
      </text>
    </comment>
    <comment ref="C28" authorId="1" shapeId="0" xr:uid="{00000000-0006-0000-0100-00004B000000}">
      <text>
        <r>
          <rPr>
            <b/>
            <sz val="9"/>
            <color indexed="81"/>
            <rFont val="Tahoma"/>
            <family val="2"/>
          </rPr>
          <t>Include loan amount and any available redraw amount</t>
        </r>
        <r>
          <rPr>
            <sz val="9"/>
            <color indexed="81"/>
            <rFont val="Tahoma"/>
            <family val="2"/>
          </rPr>
          <t xml:space="preserve">
</t>
        </r>
      </text>
    </comment>
    <comment ref="E28" authorId="0" shapeId="0" xr:uid="{00000000-0006-0000-0100-00004C000000}">
      <text>
        <r>
          <rPr>
            <b/>
            <sz val="9"/>
            <color indexed="81"/>
            <rFont val="Tahoma"/>
            <family val="2"/>
          </rPr>
          <t xml:space="preserve">Enter interest rate
</t>
        </r>
        <r>
          <rPr>
            <sz val="9"/>
            <color indexed="81"/>
            <rFont val="Tahoma"/>
            <family val="2"/>
          </rPr>
          <t xml:space="preserve">
</t>
        </r>
      </text>
    </comment>
    <comment ref="D29" authorId="0" shapeId="0" xr:uid="{00000000-0006-0000-0100-00004D000000}">
      <text>
        <r>
          <rPr>
            <b/>
            <sz val="9"/>
            <color indexed="81"/>
            <rFont val="Tahoma"/>
            <family val="2"/>
          </rPr>
          <t xml:space="preserve">Enter frequency 
(eg. W/F/B/M/A)
</t>
        </r>
        <r>
          <rPr>
            <sz val="9"/>
            <color indexed="81"/>
            <rFont val="Tahoma"/>
            <family val="2"/>
          </rPr>
          <t xml:space="preserve">
</t>
        </r>
      </text>
    </comment>
    <comment ref="E29" authorId="0" shapeId="0" xr:uid="{00000000-0006-0000-0100-00004E000000}">
      <text>
        <r>
          <rPr>
            <b/>
            <sz val="9"/>
            <color indexed="81"/>
            <rFont val="Tahoma"/>
            <family val="2"/>
          </rPr>
          <t>Enter 
repayment amount</t>
        </r>
        <r>
          <rPr>
            <sz val="9"/>
            <color indexed="81"/>
            <rFont val="Tahoma"/>
            <family val="2"/>
          </rPr>
          <t xml:space="preserve">
</t>
        </r>
      </text>
    </comment>
    <comment ref="D30" authorId="0" shapeId="0" xr:uid="{00000000-0006-0000-0100-00004F000000}">
      <text>
        <r>
          <rPr>
            <b/>
            <sz val="9"/>
            <color indexed="81"/>
            <rFont val="Tahoma"/>
            <family val="2"/>
          </rPr>
          <t xml:space="preserve">Enter frequency 
(eg. W/F/B/M/A)
</t>
        </r>
        <r>
          <rPr>
            <sz val="9"/>
            <color indexed="81"/>
            <rFont val="Tahoma"/>
            <family val="2"/>
          </rPr>
          <t xml:space="preserve">
</t>
        </r>
      </text>
    </comment>
    <comment ref="E30" authorId="0" shapeId="0" xr:uid="{00000000-0006-0000-0100-000050000000}">
      <text>
        <r>
          <rPr>
            <b/>
            <sz val="9"/>
            <color indexed="81"/>
            <rFont val="Tahoma"/>
            <family val="2"/>
          </rPr>
          <t>Enter 
repayment amount</t>
        </r>
        <r>
          <rPr>
            <sz val="9"/>
            <color indexed="81"/>
            <rFont val="Tahoma"/>
            <family val="2"/>
          </rPr>
          <t xml:space="preserve">
</t>
        </r>
      </text>
    </comment>
    <comment ref="D31" authorId="0" shapeId="0" xr:uid="{00000000-0006-0000-0100-000051000000}">
      <text>
        <r>
          <rPr>
            <b/>
            <sz val="9"/>
            <color indexed="81"/>
            <rFont val="Tahoma"/>
            <family val="2"/>
          </rPr>
          <t xml:space="preserve">Enter frequency 
(eg. W/F/B/M/A)
</t>
        </r>
        <r>
          <rPr>
            <sz val="9"/>
            <color indexed="81"/>
            <rFont val="Tahoma"/>
            <family val="2"/>
          </rPr>
          <t xml:space="preserve">
</t>
        </r>
      </text>
    </comment>
    <comment ref="E31" authorId="0" shapeId="0" xr:uid="{00000000-0006-0000-0100-000052000000}">
      <text>
        <r>
          <rPr>
            <b/>
            <sz val="9"/>
            <color indexed="81"/>
            <rFont val="Tahoma"/>
            <family val="2"/>
          </rPr>
          <t>Enter 
repayment amount</t>
        </r>
        <r>
          <rPr>
            <sz val="9"/>
            <color indexed="81"/>
            <rFont val="Tahoma"/>
            <family val="2"/>
          </rPr>
          <t xml:space="preserve">
</t>
        </r>
      </text>
    </comment>
    <comment ref="D32" authorId="0" shapeId="0" xr:uid="{00000000-0006-0000-0100-000053000000}">
      <text>
        <r>
          <rPr>
            <b/>
            <sz val="9"/>
            <color indexed="81"/>
            <rFont val="Tahoma"/>
            <family val="2"/>
          </rPr>
          <t xml:space="preserve">Enter frequency 
(eg. W/F/B/M/A)
</t>
        </r>
        <r>
          <rPr>
            <sz val="9"/>
            <color indexed="81"/>
            <rFont val="Tahoma"/>
            <family val="2"/>
          </rPr>
          <t xml:space="preserve">
</t>
        </r>
      </text>
    </comment>
    <comment ref="E32" authorId="0" shapeId="0" xr:uid="{00000000-0006-0000-0100-000054000000}">
      <text>
        <r>
          <rPr>
            <b/>
            <sz val="9"/>
            <color indexed="81"/>
            <rFont val="Tahoma"/>
            <family val="2"/>
          </rPr>
          <t xml:space="preserve">Enter 
rent or board
</t>
        </r>
      </text>
    </comment>
    <comment ref="D33" authorId="0" shapeId="0" xr:uid="{00000000-0006-0000-0100-000055000000}">
      <text>
        <r>
          <rPr>
            <b/>
            <sz val="9"/>
            <color indexed="81"/>
            <rFont val="Tahoma"/>
            <family val="2"/>
          </rPr>
          <t xml:space="preserve">Enter frequency 
(eg. W/F/B/M/A)
</t>
        </r>
        <r>
          <rPr>
            <sz val="9"/>
            <color indexed="81"/>
            <rFont val="Tahoma"/>
            <family val="2"/>
          </rPr>
          <t xml:space="preserve">
</t>
        </r>
      </text>
    </comment>
    <comment ref="E33" authorId="0" shapeId="0" xr:uid="{00000000-0006-0000-0100-000056000000}">
      <text>
        <r>
          <rPr>
            <b/>
            <sz val="9"/>
            <color indexed="81"/>
            <rFont val="Tahoma"/>
            <family val="2"/>
          </rPr>
          <t>Enter 
repayment amount</t>
        </r>
        <r>
          <rPr>
            <sz val="9"/>
            <color indexed="81"/>
            <rFont val="Tahoma"/>
            <family val="2"/>
          </rPr>
          <t xml:space="preserve">
</t>
        </r>
      </text>
    </comment>
    <comment ref="D34" authorId="0" shapeId="0" xr:uid="{00000000-0006-0000-0100-000057000000}">
      <text>
        <r>
          <rPr>
            <b/>
            <sz val="9"/>
            <color indexed="81"/>
            <rFont val="Tahoma"/>
            <family val="2"/>
          </rPr>
          <t xml:space="preserve">Enter frequency 
(eg. W/F/B/M/A)
</t>
        </r>
        <r>
          <rPr>
            <sz val="9"/>
            <color indexed="81"/>
            <rFont val="Tahoma"/>
            <family val="2"/>
          </rPr>
          <t xml:space="preserve">
</t>
        </r>
      </text>
    </comment>
    <comment ref="E34" authorId="0" shapeId="0" xr:uid="{00000000-0006-0000-0100-000058000000}">
      <text>
        <r>
          <rPr>
            <b/>
            <sz val="9"/>
            <color indexed="81"/>
            <rFont val="Tahoma"/>
            <family val="2"/>
          </rPr>
          <t>Enter 
repayment amount</t>
        </r>
        <r>
          <rPr>
            <sz val="9"/>
            <color indexed="81"/>
            <rFont val="Tahoma"/>
            <family val="2"/>
          </rPr>
          <t xml:space="preserve">
</t>
        </r>
      </text>
    </comment>
    <comment ref="E35" authorId="0" shapeId="0" xr:uid="{00000000-0006-0000-0100-000059000000}">
      <text>
        <r>
          <rPr>
            <b/>
            <sz val="9"/>
            <color indexed="81"/>
            <rFont val="Tahoma"/>
            <family val="2"/>
          </rPr>
          <t>Enter credit limit</t>
        </r>
        <r>
          <rPr>
            <sz val="9"/>
            <color indexed="81"/>
            <rFont val="Tahoma"/>
            <family val="2"/>
          </rPr>
          <t xml:space="preserve">
</t>
        </r>
      </text>
    </comment>
    <comment ref="E36" authorId="0" shapeId="0" xr:uid="{00000000-0006-0000-0100-00005A000000}">
      <text>
        <r>
          <rPr>
            <b/>
            <sz val="9"/>
            <color indexed="81"/>
            <rFont val="Tahoma"/>
            <family val="2"/>
          </rPr>
          <t>Enter credit limit</t>
        </r>
        <r>
          <rPr>
            <sz val="9"/>
            <color indexed="81"/>
            <rFont val="Tahoma"/>
            <family val="2"/>
          </rPr>
          <t xml:space="preserve">
</t>
        </r>
      </text>
    </comment>
    <comment ref="E37" authorId="0" shapeId="0" xr:uid="{00000000-0006-0000-0100-00005B000000}">
      <text>
        <r>
          <rPr>
            <b/>
            <sz val="9"/>
            <color indexed="81"/>
            <rFont val="Tahoma"/>
            <family val="2"/>
          </rPr>
          <t>Enter credit limit</t>
        </r>
        <r>
          <rPr>
            <sz val="9"/>
            <color indexed="81"/>
            <rFont val="Tahoma"/>
            <family val="2"/>
          </rPr>
          <t xml:space="preserve">
</t>
        </r>
      </text>
    </comment>
    <comment ref="E38" authorId="0" shapeId="0" xr:uid="{00000000-0006-0000-0100-00005C000000}">
      <text>
        <r>
          <rPr>
            <b/>
            <sz val="9"/>
            <color indexed="81"/>
            <rFont val="Tahoma"/>
            <family val="2"/>
          </rPr>
          <t>Enter credit limit</t>
        </r>
        <r>
          <rPr>
            <sz val="9"/>
            <color indexed="81"/>
            <rFont val="Tahoma"/>
            <family val="2"/>
          </rPr>
          <t xml:space="preserve">
</t>
        </r>
      </text>
    </comment>
    <comment ref="E39" authorId="0" shapeId="0" xr:uid="{00000000-0006-0000-0100-00005D000000}">
      <text>
        <r>
          <rPr>
            <b/>
            <sz val="9"/>
            <color indexed="81"/>
            <rFont val="Tahoma"/>
            <family val="2"/>
          </rPr>
          <t>Enter credit limit</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tpontifex</author>
    <author>jhowell</author>
  </authors>
  <commentList>
    <comment ref="A5" authorId="0" shapeId="0" xr:uid="{9697DECB-64A2-4FE7-876A-42F492063FE4}">
      <text>
        <r>
          <rPr>
            <b/>
            <sz val="10"/>
            <color indexed="81"/>
            <rFont val="Calibri"/>
            <family val="2"/>
            <scheme val="minor"/>
          </rPr>
          <t>Include:</t>
        </r>
        <r>
          <rPr>
            <sz val="9"/>
            <color indexed="81"/>
            <rFont val="Calibri"/>
            <family val="2"/>
            <scheme val="minor"/>
          </rPr>
          <t xml:space="preserve">
* Supermarket
* Butchery
* Baker
* Deli</t>
        </r>
      </text>
    </comment>
    <comment ref="A7" authorId="0" shapeId="0" xr:uid="{7A7FB308-A46A-4DFB-9011-7E36457F7686}">
      <text>
        <r>
          <rPr>
            <b/>
            <sz val="10"/>
            <color indexed="81"/>
            <rFont val="Calibri"/>
            <family val="2"/>
            <scheme val="minor"/>
          </rPr>
          <t>Include:</t>
        </r>
        <r>
          <rPr>
            <sz val="9"/>
            <color indexed="81"/>
            <rFont val="Calibri"/>
            <family val="2"/>
            <scheme val="minor"/>
          </rPr>
          <t xml:space="preserve">
* Clothing
* Shoes
* Cosmetics 
* Toiletries
* Hair and Beauty</t>
        </r>
      </text>
    </comment>
    <comment ref="A9" authorId="0" shapeId="0" xr:uid="{D51116FA-B7E6-462D-8883-43C0EBC51AE3}">
      <text>
        <r>
          <rPr>
            <b/>
            <sz val="10"/>
            <color indexed="81"/>
            <rFont val="Calibri"/>
            <family val="2"/>
            <scheme val="minor"/>
          </rPr>
          <t>Include:</t>
        </r>
        <r>
          <rPr>
            <b/>
            <sz val="9"/>
            <color indexed="81"/>
            <rFont val="Calibri"/>
            <family val="2"/>
            <scheme val="minor"/>
          </rPr>
          <t xml:space="preserve">
</t>
        </r>
        <r>
          <rPr>
            <sz val="9"/>
            <color indexed="81"/>
            <rFont val="Calibri"/>
            <family val="2"/>
            <scheme val="minor"/>
          </rPr>
          <t xml:space="preserve">* Eating out 
* Takeaway
* Sports and Cultural Events
* Shows
* Liquor
* Gambling
</t>
        </r>
      </text>
    </comment>
    <comment ref="A11" authorId="0" shapeId="0" xr:uid="{957382F5-F77A-42B1-9210-0C4409D37FEA}">
      <text>
        <r>
          <rPr>
            <b/>
            <sz val="10"/>
            <color indexed="81"/>
            <rFont val="Calibri"/>
            <family val="2"/>
            <scheme val="minor"/>
          </rPr>
          <t>Include:</t>
        </r>
        <r>
          <rPr>
            <b/>
            <sz val="9"/>
            <color indexed="81"/>
            <rFont val="Calibri"/>
            <family val="2"/>
            <scheme val="minor"/>
          </rPr>
          <t xml:space="preserve">
</t>
        </r>
        <r>
          <rPr>
            <sz val="9"/>
            <color indexed="81"/>
            <rFont val="Calibri"/>
            <family val="2"/>
            <scheme val="minor"/>
          </rPr>
          <t>* Home Phone
* Internet 
* Mobile Phone
* Cable TV
* Streaming TV
* Streaming Music and Audio</t>
        </r>
        <r>
          <rPr>
            <sz val="9"/>
            <color indexed="81"/>
            <rFont val="Tahoma"/>
            <family val="2"/>
          </rPr>
          <t xml:space="preserve">
</t>
        </r>
      </text>
    </comment>
    <comment ref="A13" authorId="0" shapeId="0" xr:uid="{149CEB97-180C-448F-AF74-9CCA950A71E8}">
      <text>
        <r>
          <rPr>
            <b/>
            <sz val="10"/>
            <color indexed="81"/>
            <rFont val="Calibri"/>
            <family val="2"/>
            <scheme val="minor"/>
          </rPr>
          <t>Include:</t>
        </r>
        <r>
          <rPr>
            <b/>
            <sz val="9"/>
            <color indexed="81"/>
            <rFont val="Calibri"/>
            <family val="2"/>
            <scheme val="minor"/>
          </rPr>
          <t xml:space="preserve">
</t>
        </r>
        <r>
          <rPr>
            <sz val="9"/>
            <color indexed="81"/>
            <rFont val="Calibri"/>
            <family val="2"/>
            <scheme val="minor"/>
          </rPr>
          <t>* Petrol
* Tolls
* Parking 
* Rego
* Maintenance 
* Roadside Assistance
* Public Transport
* Taxi and Ridesharing</t>
        </r>
      </text>
    </comment>
    <comment ref="A15" authorId="1" shapeId="0" xr:uid="{FF68719E-F767-4A73-A298-FDF06D84DFD6}">
      <text>
        <r>
          <rPr>
            <b/>
            <sz val="9"/>
            <color indexed="81"/>
            <rFont val="Calibri"/>
            <family val="2"/>
            <scheme val="minor"/>
          </rPr>
          <t>Include:</t>
        </r>
        <r>
          <rPr>
            <sz val="9"/>
            <color indexed="81"/>
            <rFont val="Calibri"/>
            <family val="2"/>
            <scheme val="minor"/>
          </rPr>
          <t xml:space="preserve">
* Utlities
* Rates
* Body Corporate/Strata Fees</t>
        </r>
      </text>
    </comment>
    <comment ref="A17" authorId="1" shapeId="0" xr:uid="{EE76F640-8169-4893-895E-06C7A2C40334}">
      <text>
        <r>
          <rPr>
            <b/>
            <sz val="9"/>
            <color indexed="81"/>
            <rFont val="Calibri"/>
            <family val="2"/>
            <scheme val="minor"/>
          </rPr>
          <t xml:space="preserve">Include:
</t>
        </r>
        <r>
          <rPr>
            <sz val="9"/>
            <color indexed="81"/>
            <rFont val="Calibri"/>
            <family val="2"/>
            <scheme val="minor"/>
          </rPr>
          <t>* Agent fees
* Rates
* Body Corporate
* Landlord Insurance</t>
        </r>
      </text>
    </comment>
    <comment ref="A19" authorId="1" shapeId="0" xr:uid="{2C614BB4-B4BF-4C7F-9112-5BB343A895BC}">
      <text>
        <r>
          <rPr>
            <b/>
            <sz val="9"/>
            <color indexed="81"/>
            <rFont val="Calibri"/>
            <family val="2"/>
            <scheme val="minor"/>
          </rPr>
          <t>Include:</t>
        </r>
        <r>
          <rPr>
            <sz val="9"/>
            <color indexed="81"/>
            <rFont val="Calibri"/>
            <family val="2"/>
            <scheme val="minor"/>
          </rPr>
          <t xml:space="preserve">
* Doctor
* Physio/Chiro
* Optical
* Dental
* Medication</t>
        </r>
        <r>
          <rPr>
            <sz val="9"/>
            <color indexed="81"/>
            <rFont val="Tahoma"/>
            <family val="2"/>
          </rPr>
          <t xml:space="preserve">
</t>
        </r>
      </text>
    </comment>
    <comment ref="A21" authorId="1" shapeId="0" xr:uid="{B581D845-8100-440B-A642-23D25FDBFCFD}">
      <text>
        <r>
          <rPr>
            <b/>
            <sz val="9"/>
            <color indexed="81"/>
            <rFont val="Calibri"/>
            <family val="2"/>
            <scheme val="minor"/>
          </rPr>
          <t xml:space="preserve">Include:
</t>
        </r>
        <r>
          <rPr>
            <sz val="9"/>
            <color indexed="81"/>
            <rFont val="Calibri"/>
            <family val="2"/>
            <scheme val="minor"/>
          </rPr>
          <t>* Private Health Insurance</t>
        </r>
      </text>
    </comment>
    <comment ref="A23" authorId="1" shapeId="0" xr:uid="{D553433C-D11C-4117-9B30-9E2BE2E315A9}">
      <text>
        <r>
          <rPr>
            <b/>
            <sz val="9"/>
            <color indexed="81"/>
            <rFont val="Calibri"/>
            <family val="2"/>
            <scheme val="minor"/>
          </rPr>
          <t>Include:</t>
        </r>
        <r>
          <rPr>
            <sz val="9"/>
            <color indexed="81"/>
            <rFont val="Calibri"/>
            <family val="2"/>
            <scheme val="minor"/>
          </rPr>
          <t xml:space="preserve">
* Home and Contents
* Car
* Travel
* Life
* Income Protection</t>
        </r>
        <r>
          <rPr>
            <sz val="9"/>
            <color indexed="81"/>
            <rFont val="Tahoma"/>
            <family val="2"/>
          </rPr>
          <t xml:space="preserve">
</t>
        </r>
      </text>
    </comment>
    <comment ref="A25" authorId="1" shapeId="0" xr:uid="{4AAD8878-8E8D-4EA8-818D-C588F70AF35C}">
      <text>
        <r>
          <rPr>
            <b/>
            <sz val="9"/>
            <color indexed="81"/>
            <rFont val="Calibri"/>
            <family val="2"/>
            <scheme val="minor"/>
          </rPr>
          <t>Include:</t>
        </r>
        <r>
          <rPr>
            <sz val="9"/>
            <color indexed="81"/>
            <rFont val="Calibri"/>
            <family val="2"/>
            <scheme val="minor"/>
          </rPr>
          <t xml:space="preserve">
* School Fees
* Extra-Curricular Activities
* Books &amp; Stationary
* TAFE Fees
</t>
        </r>
      </text>
    </comment>
    <comment ref="A27" authorId="1" shapeId="0" xr:uid="{62949DD7-5A6E-4A80-B4B0-E41ADB1D8151}">
      <text>
        <r>
          <rPr>
            <b/>
            <sz val="9"/>
            <color indexed="81"/>
            <rFont val="Calibri"/>
            <family val="2"/>
            <scheme val="minor"/>
          </rPr>
          <t>Include:</t>
        </r>
        <r>
          <rPr>
            <sz val="9"/>
            <color indexed="81"/>
            <rFont val="Calibri"/>
            <family val="2"/>
            <scheme val="minor"/>
          </rPr>
          <t xml:space="preserve">
* Daycare
* Before/After School Care
* Nannies
* Baby Sitting</t>
        </r>
        <r>
          <rPr>
            <sz val="9"/>
            <color indexed="81"/>
            <rFont val="Tahoma"/>
            <family val="2"/>
          </rPr>
          <t xml:space="preserve">
</t>
        </r>
      </text>
    </comment>
    <comment ref="A29" authorId="1" shapeId="0" xr:uid="{C3461297-FFA0-4B03-A3D5-B859491E4250}">
      <text>
        <r>
          <rPr>
            <b/>
            <sz val="9"/>
            <color indexed="81"/>
            <rFont val="Calibri"/>
            <family val="2"/>
            <scheme val="minor"/>
          </rPr>
          <t>Include:</t>
        </r>
        <r>
          <rPr>
            <sz val="9"/>
            <color indexed="81"/>
            <rFont val="Calibri"/>
            <family val="2"/>
            <scheme val="minor"/>
          </rPr>
          <t xml:space="preserve">
* Pets
* Holidays
* Gifts
* Other Discretionary Spending</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mcoopman</author>
  </authors>
  <commentList>
    <comment ref="I8" authorId="0" shapeId="0" xr:uid="{14092F31-AD42-4ACA-A7EE-C2A97EFEC3F4}">
      <text>
        <r>
          <rPr>
            <b/>
            <sz val="9"/>
            <color indexed="81"/>
            <rFont val="Tahoma"/>
            <family val="2"/>
          </rPr>
          <t>Include:
1. Verified savings
2. Verified deposit paid
3. FHOGS if required</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08D6890-49F7-4014-BD61-031C5F7304E5}"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<sst xmlns="http://schemas.openxmlformats.org/spreadsheetml/2006/main" count="4270" uniqueCount="1747">
  <si>
    <t>MOVE Bank Loan Worksheet</t>
  </si>
  <si>
    <t>Applicant 1</t>
  </si>
  <si>
    <t>Age</t>
  </si>
  <si>
    <t>Applicant 2</t>
  </si>
  <si>
    <t>Taxable Income</t>
  </si>
  <si>
    <t>Non Taxed Income</t>
  </si>
  <si>
    <t>App</t>
  </si>
  <si>
    <t>Salary</t>
  </si>
  <si>
    <t>Gross</t>
  </si>
  <si>
    <t>Disc</t>
  </si>
  <si>
    <t>Wages YTD</t>
  </si>
  <si>
    <t>App 1</t>
  </si>
  <si>
    <t>App 2</t>
  </si>
  <si>
    <t>Income</t>
  </si>
  <si>
    <t>Discount</t>
  </si>
  <si>
    <t>Employer</t>
  </si>
  <si>
    <t>Period</t>
  </si>
  <si>
    <t>Overtime/penalties</t>
  </si>
  <si>
    <t>Total</t>
  </si>
  <si>
    <t>Second Job</t>
  </si>
  <si>
    <t>Rental Income</t>
  </si>
  <si>
    <t>Check</t>
  </si>
  <si>
    <t>Commission</t>
  </si>
  <si>
    <t>Property</t>
  </si>
  <si>
    <t>Rent $</t>
  </si>
  <si>
    <t>Suburb</t>
  </si>
  <si>
    <t>Allowances</t>
  </si>
  <si>
    <t>Property 1</t>
  </si>
  <si>
    <t>Date</t>
  </si>
  <si>
    <t>Bonus</t>
  </si>
  <si>
    <t>Property 2</t>
  </si>
  <si>
    <t>Pay Period Ending</t>
  </si>
  <si>
    <t>Gross per month</t>
  </si>
  <si>
    <t>Prior Year End</t>
  </si>
  <si>
    <t>Living Expenses &amp; LMI</t>
  </si>
  <si>
    <t>Pay Periods</t>
  </si>
  <si>
    <t>No. Adults</t>
  </si>
  <si>
    <t>Per Month</t>
  </si>
  <si>
    <t>No. Children</t>
  </si>
  <si>
    <t>HEM</t>
  </si>
  <si>
    <t>Health Ins</t>
  </si>
  <si>
    <t>Declared</t>
  </si>
  <si>
    <t>LMI</t>
  </si>
  <si>
    <t>Assessed</t>
  </si>
  <si>
    <t>Location</t>
  </si>
  <si>
    <t>Commitment Details</t>
  </si>
  <si>
    <t>Lender</t>
  </si>
  <si>
    <t>Loan Amount or Balance (inc Redraw)</t>
  </si>
  <si>
    <t>Loan Type or
Repay Type</t>
  </si>
  <si>
    <t>Rate/Limit or Repay</t>
  </si>
  <si>
    <t>Lender/Agent</t>
  </si>
  <si>
    <r>
      <t xml:space="preserve">Term
</t>
    </r>
    <r>
      <rPr>
        <sz val="9"/>
        <rFont val="helv"/>
      </rPr>
      <t>(in months)</t>
    </r>
  </si>
  <si>
    <t>IO
Split
PO</t>
  </si>
  <si>
    <t>Repay 
pm</t>
  </si>
  <si>
    <t>LVR</t>
  </si>
  <si>
    <t>Security Value</t>
  </si>
  <si>
    <t>Add'l Buffer</t>
  </si>
  <si>
    <t>Notes</t>
  </si>
  <si>
    <t>Buffer</t>
  </si>
  <si>
    <t>Repay pm</t>
  </si>
  <si>
    <t>Proposed Loan</t>
  </si>
  <si>
    <t>MOVE</t>
  </si>
  <si>
    <t>Home Loan</t>
  </si>
  <si>
    <t>Investment Loan</t>
  </si>
  <si>
    <t>Car Loan/Lease</t>
  </si>
  <si>
    <t>Personal Loan</t>
  </si>
  <si>
    <t>Rent/Board</t>
  </si>
  <si>
    <t>Other (specify)</t>
  </si>
  <si>
    <t>Overdraft</t>
  </si>
  <si>
    <t>Credit Card</t>
  </si>
  <si>
    <t>Total Debt</t>
  </si>
  <si>
    <t>Total Exp MOVE Bank</t>
  </si>
  <si>
    <t>Total Repay pm</t>
  </si>
  <si>
    <t>Security</t>
  </si>
  <si>
    <t>Lower</t>
  </si>
  <si>
    <t>Upper</t>
  </si>
  <si>
    <t/>
  </si>
  <si>
    <t>Serviceability Information</t>
  </si>
  <si>
    <t>Medicare threshold</t>
  </si>
  <si>
    <t>Income from Above</t>
  </si>
  <si>
    <t>Total Gross Income PM</t>
  </si>
  <si>
    <t>Less Tax Payable</t>
  </si>
  <si>
    <t>After Tax Income PM</t>
  </si>
  <si>
    <t>Employment Status</t>
  </si>
  <si>
    <t>Confirmed Payslip</t>
  </si>
  <si>
    <t>No of pay slips</t>
  </si>
  <si>
    <t>Reference Check</t>
  </si>
  <si>
    <t>Period of Employment</t>
  </si>
  <si>
    <t>Paid to MOVE?</t>
  </si>
  <si>
    <t>Comments</t>
  </si>
  <si>
    <t>Total Tax</t>
  </si>
  <si>
    <t>Medicare</t>
  </si>
  <si>
    <t>Tax</t>
  </si>
  <si>
    <t>Medicare Surcharge</t>
  </si>
  <si>
    <t>$180K+</t>
  </si>
  <si>
    <t>$90k&lt;$180k</t>
  </si>
  <si>
    <t>$37k&lt;$90k</t>
  </si>
  <si>
    <t>$18.2k&lt;$37K</t>
  </si>
  <si>
    <t>&lt;$18200</t>
  </si>
  <si>
    <t>Member 1</t>
  </si>
  <si>
    <t>Member 2</t>
  </si>
  <si>
    <t>Other Income</t>
  </si>
  <si>
    <t>Tax Free Income</t>
  </si>
  <si>
    <t xml:space="preserve">Summary Data </t>
  </si>
  <si>
    <t>Capacity to Repay</t>
  </si>
  <si>
    <t>Extra Tax</t>
  </si>
  <si>
    <t>Assessed Income</t>
  </si>
  <si>
    <t>NSR &amp; Surplus</t>
  </si>
  <si>
    <t>APRA Reporting (ARS 223)</t>
  </si>
  <si>
    <t>Expenses (ex new)</t>
  </si>
  <si>
    <t>DSR</t>
  </si>
  <si>
    <t>NSR + Buffer</t>
  </si>
  <si>
    <t>Gross Annual Income</t>
  </si>
  <si>
    <t>Credit Limits</t>
  </si>
  <si>
    <t>Net Income</t>
  </si>
  <si>
    <t>ARA</t>
  </si>
  <si>
    <t>DLA Required</t>
  </si>
  <si>
    <t>Capacity</t>
  </si>
  <si>
    <t>Gross Debt</t>
  </si>
  <si>
    <t>Debt to income</t>
  </si>
  <si>
    <t>Liabilities</t>
  </si>
  <si>
    <t>Security Details &amp; Credit Report</t>
  </si>
  <si>
    <t>Submission</t>
  </si>
  <si>
    <t>Description</t>
  </si>
  <si>
    <t>CAT</t>
  </si>
  <si>
    <t>Valuation</t>
  </si>
  <si>
    <t>Confirmed</t>
  </si>
  <si>
    <t>Name:</t>
  </si>
  <si>
    <t>Date:</t>
  </si>
  <si>
    <t>Decision</t>
  </si>
  <si>
    <t>Credit Report</t>
  </si>
  <si>
    <t>No. Enq</t>
  </si>
  <si>
    <t>General Comments</t>
  </si>
  <si>
    <t>Loan Purpose</t>
  </si>
  <si>
    <t>Assessment Notes/
Approval Conditions</t>
  </si>
  <si>
    <t>Policy Waiver</t>
  </si>
  <si>
    <t>Policy No.</t>
  </si>
  <si>
    <t>Details:</t>
  </si>
  <si>
    <t>Event No:</t>
  </si>
  <si>
    <t>Approved by:</t>
  </si>
  <si>
    <t>Broker Notes</t>
  </si>
  <si>
    <t>Tables</t>
  </si>
  <si>
    <t>Lending Officer</t>
  </si>
  <si>
    <t>Submitted by</t>
  </si>
  <si>
    <t>LA</t>
  </si>
  <si>
    <t>Loan Assessor</t>
  </si>
  <si>
    <t>SLA</t>
  </si>
  <si>
    <t>Senior Loan Assessor</t>
  </si>
  <si>
    <t>BOARD</t>
  </si>
  <si>
    <t>Delegations</t>
  </si>
  <si>
    <t>Term</t>
  </si>
  <si>
    <t>HL S/Fwd Plus</t>
  </si>
  <si>
    <t>L52</t>
  </si>
  <si>
    <t>HL Std Var</t>
  </si>
  <si>
    <t>L20</t>
  </si>
  <si>
    <t>HL Package</t>
  </si>
  <si>
    <t>L21</t>
  </si>
  <si>
    <t>HL Fixed Pack 1Y</t>
  </si>
  <si>
    <t>L45_1</t>
  </si>
  <si>
    <t>HL Fixed Pack 2Y</t>
  </si>
  <si>
    <t>L45_2</t>
  </si>
  <si>
    <t>HL Fixed Pack 3Y</t>
  </si>
  <si>
    <t>L45_3</t>
  </si>
  <si>
    <t>HL Fixed Pack 5Y</t>
  </si>
  <si>
    <t>L45_5</t>
  </si>
  <si>
    <t>Inv S/Fwd Plus</t>
  </si>
  <si>
    <t>L18</t>
  </si>
  <si>
    <t>Inv S/Fwd Plus IO</t>
  </si>
  <si>
    <t>L18_IO</t>
  </si>
  <si>
    <t>Inv Std Var</t>
  </si>
  <si>
    <t>L15</t>
  </si>
  <si>
    <t>Inv Std Var IO</t>
  </si>
  <si>
    <t>L15_IO</t>
  </si>
  <si>
    <t>Inv Package</t>
  </si>
  <si>
    <t>L16</t>
  </si>
  <si>
    <t>Inv Package IO</t>
  </si>
  <si>
    <t>L16_IO</t>
  </si>
  <si>
    <t>INV Fixed Pack 1Y</t>
  </si>
  <si>
    <t>L46_1</t>
  </si>
  <si>
    <t>INV Fix Pack 1Y IO</t>
  </si>
  <si>
    <t>L46_1IO</t>
  </si>
  <si>
    <t>INV Fixed Pack 2Y</t>
  </si>
  <si>
    <t>L46_2</t>
  </si>
  <si>
    <t>INV Fix Pack 2Y IO</t>
  </si>
  <si>
    <t>L46_2IO</t>
  </si>
  <si>
    <t>INV Fixed Pack 3Y</t>
  </si>
  <si>
    <t>L46_3</t>
  </si>
  <si>
    <t>INV Fix Pack 3Y IO</t>
  </si>
  <si>
    <t>L46_3IO</t>
  </si>
  <si>
    <t>INV Fixed Pack 5Y</t>
  </si>
  <si>
    <t>L46_5</t>
  </si>
  <si>
    <t>INV Fix Pack 5Y IO</t>
  </si>
  <si>
    <t>L46_5IO</t>
  </si>
  <si>
    <t>Maximum</t>
  </si>
  <si>
    <t>DLA</t>
  </si>
  <si>
    <t>Mortgage Loans</t>
  </si>
  <si>
    <t>No LMI</t>
  </si>
  <si>
    <t>Intro</t>
  </si>
  <si>
    <t>Floor</t>
  </si>
  <si>
    <t>Base</t>
  </si>
  <si>
    <t>8</t>
  </si>
  <si>
    <t>Loan Types</t>
  </si>
  <si>
    <t>Rate</t>
  </si>
  <si>
    <t>Interest Type</t>
  </si>
  <si>
    <t>P&amp;I</t>
  </si>
  <si>
    <t>Fixed</t>
  </si>
  <si>
    <t>IO</t>
  </si>
  <si>
    <t>Frequency</t>
  </si>
  <si>
    <t>Living Expenses</t>
  </si>
  <si>
    <t>Annual</t>
  </si>
  <si>
    <t>A</t>
  </si>
  <si>
    <t>Month</t>
  </si>
  <si>
    <t>M</t>
  </si>
  <si>
    <t>Half Yearly</t>
  </si>
  <si>
    <t>H</t>
  </si>
  <si>
    <t>BiMonthly</t>
  </si>
  <si>
    <t>B</t>
  </si>
  <si>
    <t>Quarterly</t>
  </si>
  <si>
    <t>Q</t>
  </si>
  <si>
    <t>Fortnight</t>
  </si>
  <si>
    <t>F</t>
  </si>
  <si>
    <t>Week</t>
  </si>
  <si>
    <t>W</t>
  </si>
  <si>
    <t>N/A</t>
  </si>
  <si>
    <t>Living Allowance</t>
  </si>
  <si>
    <t>Region</t>
  </si>
  <si>
    <t>Family</t>
  </si>
  <si>
    <t>HEM Result</t>
  </si>
  <si>
    <t>Situation</t>
  </si>
  <si>
    <t>Income threshold</t>
  </si>
  <si>
    <t>Brisbane</t>
  </si>
  <si>
    <t>Sydney</t>
  </si>
  <si>
    <t>Melbourne</t>
  </si>
  <si>
    <t>Adelaide</t>
  </si>
  <si>
    <t>Perth</t>
  </si>
  <si>
    <t>Hobart</t>
  </si>
  <si>
    <t>ACT &amp; NT</t>
  </si>
  <si>
    <t>Balance of QLD</t>
  </si>
  <si>
    <t>Balance of NSW</t>
  </si>
  <si>
    <t>Balance of VIC</t>
  </si>
  <si>
    <t>Balance of SA</t>
  </si>
  <si>
    <t>Balance of TAS</t>
  </si>
  <si>
    <t>Balance of WA</t>
  </si>
  <si>
    <t>Australia</t>
  </si>
  <si>
    <t>Tax scales</t>
  </si>
  <si>
    <t>Levy</t>
  </si>
  <si>
    <t>Low income earner</t>
  </si>
  <si>
    <t>Medicare Levy Surcharge</t>
  </si>
  <si>
    <t>Extra child</t>
  </si>
  <si>
    <t>Family situation</t>
  </si>
  <si>
    <t>Single</t>
  </si>
  <si>
    <t>Car Allowance</t>
  </si>
  <si>
    <t>Salary Packaging</t>
  </si>
  <si>
    <t>Family Benefit</t>
  </si>
  <si>
    <t>Pension (ex Age/Unemp)</t>
  </si>
  <si>
    <t>Child Support</t>
  </si>
  <si>
    <t>Discounts</t>
  </si>
  <si>
    <t>Current year</t>
  </si>
  <si>
    <t>2 yr average</t>
  </si>
  <si>
    <t>Other</t>
  </si>
  <si>
    <t>Condition of employment</t>
  </si>
  <si>
    <t>Payout/Split</t>
  </si>
  <si>
    <t>Y</t>
  </si>
  <si>
    <t>Exc</t>
  </si>
  <si>
    <t>Minimum Board/Rent</t>
  </si>
  <si>
    <t>Commitments</t>
  </si>
  <si>
    <t>HELP</t>
  </si>
  <si>
    <t>Interest Free</t>
  </si>
  <si>
    <t>Super salary sacrifice</t>
  </si>
  <si>
    <t>Guarantee</t>
  </si>
  <si>
    <t>Yes</t>
  </si>
  <si>
    <t>No</t>
  </si>
  <si>
    <t>Reference</t>
  </si>
  <si>
    <t>Done</t>
  </si>
  <si>
    <t>Pending</t>
  </si>
  <si>
    <t>Direct Credit</t>
  </si>
  <si>
    <t>Emp Status</t>
  </si>
  <si>
    <t>Full Time</t>
  </si>
  <si>
    <t>Perm P/T</t>
  </si>
  <si>
    <t>Casual</t>
  </si>
  <si>
    <t>Contract</t>
  </si>
  <si>
    <t>Probation</t>
  </si>
  <si>
    <t>Self Employed</t>
  </si>
  <si>
    <t>Investor</t>
  </si>
  <si>
    <t>Credit File</t>
  </si>
  <si>
    <t>No of Enq</t>
  </si>
  <si>
    <t>Clear report</t>
  </si>
  <si>
    <t>Default</t>
  </si>
  <si>
    <t>Paid Default</t>
  </si>
  <si>
    <t>Court Judgment</t>
  </si>
  <si>
    <t>Bankrupt</t>
  </si>
  <si>
    <t>New credit file</t>
  </si>
  <si>
    <t>High credit seeker</t>
  </si>
  <si>
    <t>Rate discount applied</t>
  </si>
  <si>
    <t>No pay slips</t>
  </si>
  <si>
    <r>
      <t xml:space="preserve">HELP
</t>
    </r>
    <r>
      <rPr>
        <sz val="6"/>
        <rFont val="helv"/>
      </rPr>
      <t>(If applicable)</t>
    </r>
  </si>
  <si>
    <t>$80k&lt;$180k</t>
  </si>
  <si>
    <t>$37k&lt;$80k</t>
  </si>
  <si>
    <t>$6k&lt;$37K</t>
  </si>
  <si>
    <t>&lt;$6000</t>
  </si>
  <si>
    <t>Loan Origination - Summary Data Check</t>
  </si>
  <si>
    <t>Loan amount</t>
  </si>
  <si>
    <t>NSR</t>
  </si>
  <si>
    <t>Total Loan</t>
  </si>
  <si>
    <t>DebttoIncome</t>
  </si>
  <si>
    <t>DLA - $3m+</t>
  </si>
  <si>
    <t>Jon Jackson</t>
  </si>
  <si>
    <t>Marcel Coopman</t>
  </si>
  <si>
    <t>Julie O'Regan</t>
  </si>
  <si>
    <t>Max Campbell</t>
  </si>
  <si>
    <t>Sascha Jovanoski</t>
  </si>
  <si>
    <t>CAL</t>
  </si>
  <si>
    <t>Credit Assessment Lead</t>
  </si>
  <si>
    <t>Without LMI</t>
  </si>
  <si>
    <t>Class</t>
  </si>
  <si>
    <t>PL - Unsec</t>
  </si>
  <si>
    <t>L11</t>
  </si>
  <si>
    <t>0%</t>
  </si>
  <si>
    <t>PL</t>
  </si>
  <si>
    <t>PL - Sec</t>
  </si>
  <si>
    <t>Varies</t>
  </si>
  <si>
    <t>Car AnyAge</t>
  </si>
  <si>
    <t>L12</t>
  </si>
  <si>
    <t>Car &lt;3yo</t>
  </si>
  <si>
    <t>L23</t>
  </si>
  <si>
    <t>Car &lt;3yo Green</t>
  </si>
  <si>
    <t>L24</t>
  </si>
  <si>
    <t>S7</t>
  </si>
  <si>
    <t>FlexiCredit</t>
  </si>
  <si>
    <t>S22</t>
  </si>
  <si>
    <t>HL</t>
  </si>
  <si>
    <t>HL Std Var IO</t>
  </si>
  <si>
    <t>L20_IO</t>
  </si>
  <si>
    <t>HL Package IO</t>
  </si>
  <si>
    <t>L21_IO</t>
  </si>
  <si>
    <t>HL Fix Pack 1Y IO</t>
  </si>
  <si>
    <t>L45_1 IO</t>
  </si>
  <si>
    <t>DLA - Non mortgage</t>
  </si>
  <si>
    <t>DLA - Mortgage</t>
  </si>
  <si>
    <t>DTI - Non mortgage</t>
  </si>
  <si>
    <t>DTI - Mortgage</t>
  </si>
  <si>
    <t>IO Premium</t>
  </si>
  <si>
    <t xml:space="preserve"> </t>
  </si>
  <si>
    <t>Min Assess Rate</t>
  </si>
  <si>
    <t>HL S/Fwd- Base</t>
  </si>
  <si>
    <t>L51-Base</t>
  </si>
  <si>
    <t>Inv S/Fwd - Base</t>
  </si>
  <si>
    <t>L17-Base</t>
  </si>
  <si>
    <t>Credit card rates</t>
  </si>
  <si>
    <t>Rent Discount</t>
  </si>
  <si>
    <t>Private School Fees</t>
  </si>
  <si>
    <t>NA QR/Aurizon</t>
  </si>
  <si>
    <t>Applicant</t>
  </si>
  <si>
    <t>Assessment</t>
  </si>
  <si>
    <t>Member Declared</t>
  </si>
  <si>
    <t>Assessed - Statement/Proviso Review</t>
  </si>
  <si>
    <t>Legend</t>
  </si>
  <si>
    <t>Groceries</t>
  </si>
  <si>
    <t>Amount</t>
  </si>
  <si>
    <t>Freq</t>
  </si>
  <si>
    <t>Monthly</t>
  </si>
  <si>
    <t>Clothing &amp; Personal Care</t>
  </si>
  <si>
    <t>Recreation &amp; Entertainment</t>
  </si>
  <si>
    <t>Bi Monthly</t>
  </si>
  <si>
    <t>Fortnightly</t>
  </si>
  <si>
    <t>Telephone, Internet, Pay TV and Streaming Services</t>
  </si>
  <si>
    <t>Weekly</t>
  </si>
  <si>
    <t>Transport</t>
  </si>
  <si>
    <t>Primary Residence Running Costs</t>
  </si>
  <si>
    <t>Investment Property Running Costs</t>
  </si>
  <si>
    <t>Medical and Health</t>
  </si>
  <si>
    <t>Health Insurance</t>
  </si>
  <si>
    <t>General Basic Insurances</t>
  </si>
  <si>
    <t>Childcare</t>
  </si>
  <si>
    <t>Other Living Expenses</t>
  </si>
  <si>
    <t>Total living expenses pm</t>
  </si>
  <si>
    <t>Assessor Notes</t>
  </si>
  <si>
    <t>Funds to complete</t>
  </si>
  <si>
    <t>Transaction type</t>
  </si>
  <si>
    <t>State</t>
  </si>
  <si>
    <t>Loan Type</t>
  </si>
  <si>
    <t>First Home Buyer Eligible</t>
  </si>
  <si>
    <t>Construction Loan</t>
  </si>
  <si>
    <t>Purchase Price</t>
  </si>
  <si>
    <t>Government Charges</t>
  </si>
  <si>
    <t>Mortgage Registration Fee (per transaction)</t>
  </si>
  <si>
    <t>Part of MOVE Loan</t>
  </si>
  <si>
    <t>Source</t>
  </si>
  <si>
    <t>https://movebank.com.au/quick-links/calculators/stamp-duty/</t>
  </si>
  <si>
    <t>Transfer Fee (purchase only)</t>
  </si>
  <si>
    <t>NB. Ensure that all data is input into calculator</t>
  </si>
  <si>
    <t>Stamp duty on property (purchase only)</t>
  </si>
  <si>
    <t>Paid directly by borrower</t>
  </si>
  <si>
    <t>Stamp duty does not apply to refinances so record as $0</t>
  </si>
  <si>
    <t>Capture quote obtain from website and save to Fees folder under Documents tab in LO</t>
  </si>
  <si>
    <r>
      <t>Solicitor/Conveyancing</t>
    </r>
    <r>
      <rPr>
        <sz val="10"/>
        <rFont val="Calibri"/>
        <family val="2"/>
        <scheme val="minor"/>
      </rPr>
      <t xml:space="preserve"> (estimate)</t>
    </r>
  </si>
  <si>
    <t>Fees Included in Loan</t>
  </si>
  <si>
    <t>MOVE Bank Fees</t>
  </si>
  <si>
    <t>Loan Establishment Fee</t>
  </si>
  <si>
    <t xml:space="preserve">Package Fee </t>
  </si>
  <si>
    <t>Construction Drawdown Fees</t>
  </si>
  <si>
    <t>Fees paid to others</t>
  </si>
  <si>
    <t>Lenders Mortgage Insurance LMI</t>
  </si>
  <si>
    <t>Genworth Calculator or QBE</t>
  </si>
  <si>
    <t>Mortgage Registration Fee</t>
  </si>
  <si>
    <t>Transfer Fee</t>
  </si>
  <si>
    <t>Valuation Fee</t>
  </si>
  <si>
    <t>Progress Valuation Fees</t>
  </si>
  <si>
    <t>Total Fees Included in Home Loan</t>
  </si>
  <si>
    <t>Included in loan payable at funding</t>
  </si>
  <si>
    <t>Broker Fee</t>
  </si>
  <si>
    <t>If applicable</t>
  </si>
  <si>
    <t>Funds Required</t>
  </si>
  <si>
    <t>Funds to Complete</t>
  </si>
  <si>
    <t>Settlement Date</t>
  </si>
  <si>
    <t>Own funds</t>
  </si>
  <si>
    <t>Contract signed date</t>
  </si>
  <si>
    <t>Proceeds from sale of property/equity release</t>
  </si>
  <si>
    <t>First Home Owners Grant</t>
  </si>
  <si>
    <t>Days to exchange</t>
  </si>
  <si>
    <t>Gift (non-repayable)</t>
  </si>
  <si>
    <t>Days to settlement</t>
  </si>
  <si>
    <t>Loan funds (inclusive of fees added to loan)</t>
  </si>
  <si>
    <t>Finance due</t>
  </si>
  <si>
    <t>Surplus/(Shortfall)</t>
  </si>
  <si>
    <t>Settlement due</t>
  </si>
  <si>
    <t xml:space="preserve">Fees </t>
  </si>
  <si>
    <t>Select State</t>
  </si>
  <si>
    <t>Complete Package (Pro Rata)</t>
  </si>
  <si>
    <t xml:space="preserve">Mortgage Registration Fee's </t>
  </si>
  <si>
    <t>HELP Calculator</t>
  </si>
  <si>
    <t>QLD</t>
  </si>
  <si>
    <t>NSW</t>
  </si>
  <si>
    <t>Settlement Month</t>
  </si>
  <si>
    <t>Select Month</t>
  </si>
  <si>
    <t>Application 1</t>
  </si>
  <si>
    <t>VIC</t>
  </si>
  <si>
    <t>OFI Mortgage on Title</t>
  </si>
  <si>
    <t>Select Option</t>
  </si>
  <si>
    <t>Total salary per annum</t>
  </si>
  <si>
    <t>ACT</t>
  </si>
  <si>
    <t>NT</t>
  </si>
  <si>
    <t>Broker Commission</t>
  </si>
  <si>
    <t>Transfer Duty</t>
  </si>
  <si>
    <t>(If Refinance leave as $0)</t>
  </si>
  <si>
    <t>HELP tax rate</t>
  </si>
  <si>
    <t>SA</t>
  </si>
  <si>
    <t>WA</t>
  </si>
  <si>
    <t>Loan Amount (Incl Fees)</t>
  </si>
  <si>
    <t>Document Registration Field</t>
  </si>
  <si>
    <t>HELP commitment per month</t>
  </si>
  <si>
    <t>TAS</t>
  </si>
  <si>
    <t>Contract Reference</t>
  </si>
  <si>
    <t xml:space="preserve">Valuation and LMI Cost Calculation </t>
  </si>
  <si>
    <t>Registration Fee Scenario's</t>
  </si>
  <si>
    <t>Application 2</t>
  </si>
  <si>
    <t>Total Cost of Valuations/LMI</t>
  </si>
  <si>
    <t xml:space="preserve">Marital Seperation </t>
  </si>
  <si>
    <t>Treat as Purchase - x 3 Fee's Applicable</t>
  </si>
  <si>
    <t>July</t>
  </si>
  <si>
    <t>GST Portion</t>
  </si>
  <si>
    <t>Transfer of ownership</t>
  </si>
  <si>
    <t>August</t>
  </si>
  <si>
    <t>RITC Portion</t>
  </si>
  <si>
    <t>September</t>
  </si>
  <si>
    <t xml:space="preserve">Total Cost to Customer </t>
  </si>
  <si>
    <t xml:space="preserve">** LMI Calcualtion </t>
  </si>
  <si>
    <t>October</t>
  </si>
  <si>
    <t>End cost to Customer (less standard fee)</t>
  </si>
  <si>
    <t xml:space="preserve">** Valuation Calculation </t>
  </si>
  <si>
    <t>November</t>
  </si>
  <si>
    <t>December</t>
  </si>
  <si>
    <t>January</t>
  </si>
  <si>
    <t>LO References</t>
  </si>
  <si>
    <t>February</t>
  </si>
  <si>
    <t>March</t>
  </si>
  <si>
    <t>FEES</t>
  </si>
  <si>
    <t>Explanation</t>
  </si>
  <si>
    <t>April</t>
  </si>
  <si>
    <t>Valuation Fees</t>
  </si>
  <si>
    <t>to be added</t>
  </si>
  <si>
    <t>Add the valuer's name</t>
  </si>
  <si>
    <t>May</t>
  </si>
  <si>
    <t>Lender's Mortgage Insurance</t>
  </si>
  <si>
    <t>Add the Mortgage Insurer's Name</t>
  </si>
  <si>
    <t>June</t>
  </si>
  <si>
    <t>Establishment Fee</t>
  </si>
  <si>
    <t>MOVE Bank</t>
  </si>
  <si>
    <t>New Mortgage - $600 and Internal Refinance - $150</t>
  </si>
  <si>
    <t>Loan Switch Fees</t>
  </si>
  <si>
    <t>Mortgage Discharge Fees</t>
  </si>
  <si>
    <t>Charged by Move Bank to process the discharge</t>
  </si>
  <si>
    <t>Mortgage Discharge Fees- Payable to Others</t>
  </si>
  <si>
    <t>LEGALSTREAM PTY LTD</t>
  </si>
  <si>
    <t>Discharge fees charged by the State Title's Office</t>
  </si>
  <si>
    <t>Document Registration Fees</t>
  </si>
  <si>
    <t>Depends on the loan purpose and state</t>
  </si>
  <si>
    <t>Broker Upfront Commission</t>
  </si>
  <si>
    <t>Broker Name to be added</t>
  </si>
  <si>
    <t>This is applicable only for Broker Loans</t>
  </si>
  <si>
    <t>Fixed Rate Lock Fee- Disclosure</t>
  </si>
  <si>
    <t>Our fees</t>
  </si>
  <si>
    <t>QuickDebit Dishonour Fee</t>
  </si>
  <si>
    <t>Loan Redraw - Staff Assisted</t>
  </si>
  <si>
    <t>Annual Package  Fee</t>
  </si>
  <si>
    <t>Only for package products</t>
  </si>
  <si>
    <t>Establishment Fees- Other Securities</t>
  </si>
  <si>
    <t>This is to be added if there are more than one securities involved</t>
  </si>
  <si>
    <t>Package Product Fee- Pro-Rata</t>
  </si>
  <si>
    <t>Construction Progress Draw</t>
  </si>
  <si>
    <t>Only for construction loans- $50 each for first three progress payments are to be charged upfront</t>
  </si>
  <si>
    <t>Progress Valuation Fee</t>
  </si>
  <si>
    <t>Valuer's name</t>
  </si>
  <si>
    <t>This amount is twice the progress valuation amount to be charged by the valuer for Progress Inspection only. This is different to the full inspection done at assessment stage before approval. It is usually different depending on the location of the property. Confirm with the valuer if unsure at approval stage. This has to be the same valuer who carried out the full inspection.</t>
  </si>
  <si>
    <t>Progress Draw Fee - Additional</t>
  </si>
  <si>
    <t>Progress Valuation Fee- Additional</t>
  </si>
  <si>
    <t xml:space="preserve">This amount is the Progress valuation amount to be charged by the valuer if an additional inspection is required </t>
  </si>
  <si>
    <t>https://www.paycalculator.com.au/</t>
  </si>
  <si>
    <t xml:space="preserve">ARS 223 Reporting Data </t>
  </si>
  <si>
    <t xml:space="preserve">APRA Definitions </t>
  </si>
  <si>
    <t xml:space="preserve">Information Required </t>
  </si>
  <si>
    <t xml:space="preserve">MOVE Data </t>
  </si>
  <si>
    <t>Is this loan Broker Originated?</t>
  </si>
  <si>
    <t>Temporarily modified due to Financial Hardship?</t>
  </si>
  <si>
    <t xml:space="preserve">Externally refinanced? </t>
  </si>
  <si>
    <t>Non-Performing Customer Credit History?</t>
  </si>
  <si>
    <t xml:space="preserve">Exceptions to Serviceability Policy? </t>
  </si>
  <si>
    <t xml:space="preserve">* See definition </t>
  </si>
  <si>
    <t>Serviceability Verification Waivers?</t>
  </si>
  <si>
    <t xml:space="preserve">LVR at Approval? </t>
  </si>
  <si>
    <t>First Home Buyer?</t>
  </si>
  <si>
    <t>Serviced by foreign sourced income?</t>
  </si>
  <si>
    <t>Bridging Loan Worksheet</t>
  </si>
  <si>
    <t>Peak Debt</t>
  </si>
  <si>
    <t>Other Inputs</t>
  </si>
  <si>
    <t>Payout existing home loan</t>
  </si>
  <si>
    <t>Bridging loan interest rate</t>
  </si>
  <si>
    <t>Payout other debts being refinanced (if applicable)</t>
  </si>
  <si>
    <t>Bridging loan term (max. 6 months)</t>
  </si>
  <si>
    <t>Purchase price NEW property</t>
  </si>
  <si>
    <t>Agents commission</t>
  </si>
  <si>
    <t>Purchase costs (ie. Stamp duty)</t>
  </si>
  <si>
    <r>
      <rPr>
        <i/>
        <sz val="10"/>
        <rFont val="Arial"/>
        <family val="2"/>
      </rPr>
      <t>Less</t>
    </r>
    <r>
      <rPr>
        <sz val="10"/>
        <rFont val="Arial"/>
        <family val="2"/>
      </rPr>
      <t xml:space="preserve"> deposit paid</t>
    </r>
  </si>
  <si>
    <r>
      <rPr>
        <i/>
        <sz val="10"/>
        <rFont val="Arial"/>
        <family val="2"/>
      </rPr>
      <t xml:space="preserve">Less </t>
    </r>
    <r>
      <rPr>
        <sz val="10"/>
        <rFont val="Arial"/>
        <family val="2"/>
      </rPr>
      <t>any additional contribution towards purchase</t>
    </r>
  </si>
  <si>
    <t>Value of property being sold</t>
  </si>
  <si>
    <t>Sub Total</t>
  </si>
  <si>
    <t>New property purchase price</t>
  </si>
  <si>
    <t>Interest capitalised to loan</t>
  </si>
  <si>
    <t>Other securities offered</t>
  </si>
  <si>
    <t>Total Peak Debt including interest</t>
  </si>
  <si>
    <t>Security value</t>
  </si>
  <si>
    <t>End Debt</t>
  </si>
  <si>
    <r>
      <rPr>
        <i/>
        <sz val="10"/>
        <rFont val="Arial"/>
        <family val="2"/>
      </rPr>
      <t>Less</t>
    </r>
    <r>
      <rPr>
        <sz val="10"/>
        <rFont val="Arial"/>
        <family val="2"/>
      </rPr>
      <t xml:space="preserve"> Proceeds of Sale</t>
    </r>
  </si>
  <si>
    <t>Selling costs - Agent/Auction Costs/Marketing</t>
  </si>
  <si>
    <t>Sale proceeds retained by borrower</t>
  </si>
  <si>
    <t>Total End Debt</t>
  </si>
  <si>
    <t>CAT2</t>
  </si>
  <si>
    <t>Breakdown of "Capital" and "Balance of State". Below are areas included in the respective "Capital" dummies in the HEM analysis. ABS 1216.0 - Australian Standard Geographical Classification (ASGC)</t>
  </si>
  <si>
    <t>New South Wales</t>
  </si>
  <si>
    <t>Victoria</t>
  </si>
  <si>
    <t>Queensland</t>
  </si>
  <si>
    <t>South Australia</t>
  </si>
  <si>
    <t>Western Australia</t>
  </si>
  <si>
    <t>Tasmania</t>
  </si>
  <si>
    <t>Inner Sydney</t>
  </si>
  <si>
    <t>Inner Melbourne</t>
  </si>
  <si>
    <t>Inner Brisbane</t>
  </si>
  <si>
    <t>Northern Adelaide</t>
  </si>
  <si>
    <t>Central Metropolitan</t>
  </si>
  <si>
    <t>Greater Hobart</t>
  </si>
  <si>
    <t>Botany Bay (C)</t>
  </si>
  <si>
    <t>Melbourne (C) - Inner</t>
  </si>
  <si>
    <t>Bowen Hills</t>
  </si>
  <si>
    <t>Gawler (T)</t>
  </si>
  <si>
    <t>Cambridge (T)</t>
  </si>
  <si>
    <t>Brighton (M)</t>
  </si>
  <si>
    <t>Leichhardt (A)</t>
  </si>
  <si>
    <t>Melbourne (C) - S'bank-D'lands</t>
  </si>
  <si>
    <t>City - Inner</t>
  </si>
  <si>
    <t>Playford (C) - East Central</t>
  </si>
  <si>
    <t>Claremont (T)</t>
  </si>
  <si>
    <t>Clarence (C)</t>
  </si>
  <si>
    <t>Marrickville (A)</t>
  </si>
  <si>
    <t>Melbourne (C) - Remainder</t>
  </si>
  <si>
    <t>City - Remainder</t>
  </si>
  <si>
    <t>Playford (C) - Elizabeth</t>
  </si>
  <si>
    <t>Cottesloe (T)</t>
  </si>
  <si>
    <t>Derwent Valley (M) - Pt A</t>
  </si>
  <si>
    <t>Sydney (C) - Inner</t>
  </si>
  <si>
    <t>Port Phillip (C) - St Kilda</t>
  </si>
  <si>
    <t>Dutton Park</t>
  </si>
  <si>
    <t>Playford (C) - Hills</t>
  </si>
  <si>
    <t>Mosman Park (T)</t>
  </si>
  <si>
    <t>Glenorchy (C)</t>
  </si>
  <si>
    <t>Sydney (C) - East</t>
  </si>
  <si>
    <t>Port Phillip (C) - West</t>
  </si>
  <si>
    <t>Fortitude Valley</t>
  </si>
  <si>
    <t>Playford (C) - West</t>
  </si>
  <si>
    <t>Nedlands (C)</t>
  </si>
  <si>
    <t>Hobart (C) - Inner</t>
  </si>
  <si>
    <t>Sydney (C) - South</t>
  </si>
  <si>
    <t>Stonnington (C) - Prahran</t>
  </si>
  <si>
    <t>Herston</t>
  </si>
  <si>
    <t>Playford (C) - West Central</t>
  </si>
  <si>
    <t>Peppermint Grove (S)</t>
  </si>
  <si>
    <t>Hobart (C) - Remainder</t>
  </si>
  <si>
    <t>Sydney (C) - West</t>
  </si>
  <si>
    <t>Yarra (C) - North</t>
  </si>
  <si>
    <t>Highgate Hill</t>
  </si>
  <si>
    <t>Port Adel. Enfield (C) - East</t>
  </si>
  <si>
    <t>Perth (C) - Inner</t>
  </si>
  <si>
    <t>Kingborough (M) - Pt A</t>
  </si>
  <si>
    <t>Eastern Suburbs</t>
  </si>
  <si>
    <t>Yarra (C) - Richmond</t>
  </si>
  <si>
    <t>Kangaroo Point</t>
  </si>
  <si>
    <t>Port Adel. Enfield (C) - Inner</t>
  </si>
  <si>
    <t>Perth (C) - Remainder</t>
  </si>
  <si>
    <t>Sorell (M) - Pt A</t>
  </si>
  <si>
    <t>Randwick (C)</t>
  </si>
  <si>
    <t>Western Melbourne</t>
  </si>
  <si>
    <t>Kelvin Grove</t>
  </si>
  <si>
    <t>Salisbury (C) - Central</t>
  </si>
  <si>
    <t>Subiaco (C)</t>
  </si>
  <si>
    <t>Waverley (A)</t>
  </si>
  <si>
    <t>Brimbank (C) - Keilor</t>
  </si>
  <si>
    <t>Milton</t>
  </si>
  <si>
    <t>Salisbury (C) - Inner North</t>
  </si>
  <si>
    <t>Vincent (T)</t>
  </si>
  <si>
    <t>Woollahra (A)</t>
  </si>
  <si>
    <t>Brimbank (C) - Sunshine</t>
  </si>
  <si>
    <t>New Farm</t>
  </si>
  <si>
    <t>Salisbury (C) - North-East</t>
  </si>
  <si>
    <t>East Metropolitan</t>
  </si>
  <si>
    <t>St George-Sutherland</t>
  </si>
  <si>
    <t>Hobsons Bay (C) - Altona</t>
  </si>
  <si>
    <t>Newstead</t>
  </si>
  <si>
    <t>Salisbury (C) - South-East</t>
  </si>
  <si>
    <t>Bassendean (T)</t>
  </si>
  <si>
    <t>Hurstville (C)</t>
  </si>
  <si>
    <t>Hobsons Bay (C) - Williamstown</t>
  </si>
  <si>
    <t>Paddington</t>
  </si>
  <si>
    <t>Salisbury (C) Bal</t>
  </si>
  <si>
    <t>Bayswater (C)</t>
  </si>
  <si>
    <t>Kogarah (C)</t>
  </si>
  <si>
    <t>Maribyrnong (C)</t>
  </si>
  <si>
    <t>Red Hill</t>
  </si>
  <si>
    <t>Tea Tree Gully (C) - Central</t>
  </si>
  <si>
    <t>Kalamunda (S)</t>
  </si>
  <si>
    <t>Rockdale (C)</t>
  </si>
  <si>
    <t>Moonee Valley (C) - Essendon</t>
  </si>
  <si>
    <t>South Brisbane</t>
  </si>
  <si>
    <t>Tea Tree Gully (C) - Hills</t>
  </si>
  <si>
    <t>Mundaring (S)</t>
  </si>
  <si>
    <t>Sutherland Shire (A) - East</t>
  </si>
  <si>
    <t>Moonee Valley (C) - West</t>
  </si>
  <si>
    <t>Spring Hill</t>
  </si>
  <si>
    <t>Tea Tree Gully (C) - North</t>
  </si>
  <si>
    <t>Swan (C)</t>
  </si>
  <si>
    <t>Sutherland Shire (A) - West</t>
  </si>
  <si>
    <t>Melton-Wyndham</t>
  </si>
  <si>
    <t>West End</t>
  </si>
  <si>
    <t>Tea Tree Gully (C) - South</t>
  </si>
  <si>
    <t>North Metropolitan</t>
  </si>
  <si>
    <t>Canterbury-Bankstown</t>
  </si>
  <si>
    <t>Melton (S) - East</t>
  </si>
  <si>
    <t>Woolloongabba</t>
  </si>
  <si>
    <t>Western Adelaide</t>
  </si>
  <si>
    <t>Joondalup (C) - North</t>
  </si>
  <si>
    <t>Bankstown (C) - North-East</t>
  </si>
  <si>
    <t>Melton (S) Bal</t>
  </si>
  <si>
    <t>Northwest Inner Brisbane</t>
  </si>
  <si>
    <t>Charles Sturt (C) - Coastal</t>
  </si>
  <si>
    <t>Joondalup (C) - South</t>
  </si>
  <si>
    <t>Bankstown (C) - North-West</t>
  </si>
  <si>
    <t>Wyndham (C) - North</t>
  </si>
  <si>
    <t>Albion</t>
  </si>
  <si>
    <t>Charles Sturt (C) - Inner East</t>
  </si>
  <si>
    <t>Stirling (C) - Central</t>
  </si>
  <si>
    <t>Bankstown (C) - South</t>
  </si>
  <si>
    <t>Wyndham (C) - South</t>
  </si>
  <si>
    <t>Alderley</t>
  </si>
  <si>
    <t>Charles Sturt (C) - Inner West</t>
  </si>
  <si>
    <t>Stirling (C) - Coastal</t>
  </si>
  <si>
    <t>Canterbury (C)</t>
  </si>
  <si>
    <t>Wyndham (C) - West</t>
  </si>
  <si>
    <t>Ascot</t>
  </si>
  <si>
    <t>Charles Sturt (C) - North-East</t>
  </si>
  <si>
    <t>Stirling (C) - South-Eastern</t>
  </si>
  <si>
    <t>Fairfield-Liverpool</t>
  </si>
  <si>
    <t>Moreland City</t>
  </si>
  <si>
    <t>Ashgrove</t>
  </si>
  <si>
    <t>Port Adel. Enfield (C) - Coast</t>
  </si>
  <si>
    <t>Wanneroo (C) - North-East</t>
  </si>
  <si>
    <t>Fairfield (C) - East</t>
  </si>
  <si>
    <t>Moreland (C) - Brunswick</t>
  </si>
  <si>
    <t>Bardon</t>
  </si>
  <si>
    <t>Port Adel. Enfield (C) - Park</t>
  </si>
  <si>
    <t>Wanneroo (C) - North-West</t>
  </si>
  <si>
    <t>Fairfield (C) - West</t>
  </si>
  <si>
    <t>Moreland (C) - Coburg</t>
  </si>
  <si>
    <t>Chelmer</t>
  </si>
  <si>
    <t>Port Adel. Enfield (C) - Port</t>
  </si>
  <si>
    <t>Wanneroo (C) - South</t>
  </si>
  <si>
    <t>Liverpool (C) - East</t>
  </si>
  <si>
    <t>Moreland (C) - North</t>
  </si>
  <si>
    <t>Clayfield</t>
  </si>
  <si>
    <t>West Torrens (C) - East</t>
  </si>
  <si>
    <t>South West Metropolitan</t>
  </si>
  <si>
    <t>Liverpool (C) - West</t>
  </si>
  <si>
    <t>Northern Middle Melbourne</t>
  </si>
  <si>
    <t>Corinda</t>
  </si>
  <si>
    <t>West Torrens (C) - West</t>
  </si>
  <si>
    <t>Cockburn (C)</t>
  </si>
  <si>
    <t>Outer South Western Sydney</t>
  </si>
  <si>
    <t>Banyule (C) - Heidelberg</t>
  </si>
  <si>
    <t>Enoggera</t>
  </si>
  <si>
    <t>Unincorp. Western</t>
  </si>
  <si>
    <t>East Fremantle (T)</t>
  </si>
  <si>
    <t>Camden (A)</t>
  </si>
  <si>
    <t>Banyule (C) - North</t>
  </si>
  <si>
    <t>Graceville</t>
  </si>
  <si>
    <t>Eastern Adelaide</t>
  </si>
  <si>
    <t>Fremantle (C) - Inner</t>
  </si>
  <si>
    <t>Campbelltown (C) - North</t>
  </si>
  <si>
    <t>Darebin (C) - Northcote</t>
  </si>
  <si>
    <t>Grange</t>
  </si>
  <si>
    <t>Adelaide (C)</t>
  </si>
  <si>
    <t>Fremantle (C) - Remainder</t>
  </si>
  <si>
    <t>Campbelltown (C) - South</t>
  </si>
  <si>
    <t>Darebin (C) - Preston</t>
  </si>
  <si>
    <t>Hamilton</t>
  </si>
  <si>
    <t>Adelaide Hills (DC) - Central</t>
  </si>
  <si>
    <t>Kwinana (T)</t>
  </si>
  <si>
    <t>Wollondilly (A)</t>
  </si>
  <si>
    <t>Hume City</t>
  </si>
  <si>
    <t>Hendra</t>
  </si>
  <si>
    <t>Adelaide Hills (DC) - Ranges</t>
  </si>
  <si>
    <t>Melville (C)</t>
  </si>
  <si>
    <t>Inner Western Sydney</t>
  </si>
  <si>
    <t>Hume (C) - Broadmeadows</t>
  </si>
  <si>
    <t>Indooroopilly</t>
  </si>
  <si>
    <t>Burnside (C) - North-East</t>
  </si>
  <si>
    <t>Rockingham (C)</t>
  </si>
  <si>
    <t>Ashfield (A)</t>
  </si>
  <si>
    <t>Hume (C) - Craigieburn</t>
  </si>
  <si>
    <t>Kedron</t>
  </si>
  <si>
    <t>Burnside (C) - South-West</t>
  </si>
  <si>
    <t>South East Metropolitan</t>
  </si>
  <si>
    <t>Burwood (A)</t>
  </si>
  <si>
    <t>Hume (C) - Sunbury</t>
  </si>
  <si>
    <t>Lutwyche</t>
  </si>
  <si>
    <t>Campbelltown (C) - East</t>
  </si>
  <si>
    <t>Armadale (C)</t>
  </si>
  <si>
    <t>Canada Bay (A) - Concord</t>
  </si>
  <si>
    <t>Northern Outer Melbourne</t>
  </si>
  <si>
    <t>Newmarket</t>
  </si>
  <si>
    <t>Campbelltown (C) - West</t>
  </si>
  <si>
    <t>Belmont (C)</t>
  </si>
  <si>
    <t>Canada Bay (A) - Drummoyne</t>
  </si>
  <si>
    <t>Nillumbik (S) - South</t>
  </si>
  <si>
    <t>Nundah</t>
  </si>
  <si>
    <t>Norw. P'ham St Ptrs (C) - East</t>
  </si>
  <si>
    <t>Canning (C)</t>
  </si>
  <si>
    <t>Strathfield (A)</t>
  </si>
  <si>
    <t>Nillumbik (S) - South-West</t>
  </si>
  <si>
    <t>St Lucia</t>
  </si>
  <si>
    <t>Norw. P'ham St Ptrs (C) - West</t>
  </si>
  <si>
    <t>Gosnells (C)</t>
  </si>
  <si>
    <t>Central Western Sydney</t>
  </si>
  <si>
    <t>Nillumbik (S) Bal</t>
  </si>
  <si>
    <t>Sherwood</t>
  </si>
  <si>
    <t>Prospect (C)</t>
  </si>
  <si>
    <t>Serpentine-Jarrahdale (S)</t>
  </si>
  <si>
    <t>Auburn (C)</t>
  </si>
  <si>
    <t>Whittlesea (C) - North</t>
  </si>
  <si>
    <t>Stafford</t>
  </si>
  <si>
    <t>Unley (C) - East</t>
  </si>
  <si>
    <t>South Perth (C)</t>
  </si>
  <si>
    <t>Holroyd (C)</t>
  </si>
  <si>
    <t>Whittlesea (C) - South-East</t>
  </si>
  <si>
    <t>Stafford Heights</t>
  </si>
  <si>
    <t>Unley (C) - West</t>
  </si>
  <si>
    <t>Victoria Park (T)</t>
  </si>
  <si>
    <t>Parramatta (C) - Inner</t>
  </si>
  <si>
    <t>Whittlesea (C) - South-West</t>
  </si>
  <si>
    <t>Taringa</t>
  </si>
  <si>
    <t>Walkerville (M)</t>
  </si>
  <si>
    <t>Parramatta (C) - North-East</t>
  </si>
  <si>
    <t>Boroondara City</t>
  </si>
  <si>
    <t>Toowong</t>
  </si>
  <si>
    <t>Southern Adelaide</t>
  </si>
  <si>
    <t>Parramatta (C) - North-West</t>
  </si>
  <si>
    <t>Boroondara (C) - Camberwell N.</t>
  </si>
  <si>
    <t>Wilston</t>
  </si>
  <si>
    <t>Holdfast Bay (C) - North</t>
  </si>
  <si>
    <t>Parramatta (C) - South</t>
  </si>
  <si>
    <t>Boroondara (C) - Camberwell S.</t>
  </si>
  <si>
    <t>Windsor</t>
  </si>
  <si>
    <t>Holdfast Bay (C) - South</t>
  </si>
  <si>
    <t>Outer Western Sydney</t>
  </si>
  <si>
    <t>Boroondara (C) - Hawthorn</t>
  </si>
  <si>
    <t>Wooloowin</t>
  </si>
  <si>
    <t>Marion (C) - Central</t>
  </si>
  <si>
    <t>Blue Mountains (C)</t>
  </si>
  <si>
    <t>Boroondara (C) - Kew</t>
  </si>
  <si>
    <t>Northwest Outer Brisbane</t>
  </si>
  <si>
    <t>Marion (C) - North</t>
  </si>
  <si>
    <t>Hawkesbury (C)</t>
  </si>
  <si>
    <t>Eastern Middle Melbourne</t>
  </si>
  <si>
    <t>Anstead</t>
  </si>
  <si>
    <t>Marion (C) - South</t>
  </si>
  <si>
    <t>Penrith (C) - East</t>
  </si>
  <si>
    <t>Manningham (C) - East</t>
  </si>
  <si>
    <t>Aspley</t>
  </si>
  <si>
    <t>Mitcham (C) - Hills</t>
  </si>
  <si>
    <t>Penrith (C) - West</t>
  </si>
  <si>
    <t>Manningham (C) - West</t>
  </si>
  <si>
    <t>Bald Hills</t>
  </si>
  <si>
    <t>Mitcham (C) - North-East</t>
  </si>
  <si>
    <t>Blacktown</t>
  </si>
  <si>
    <t>Monash (C) - South-West</t>
  </si>
  <si>
    <t>Banyo</t>
  </si>
  <si>
    <t>Mitcham (C) - West</t>
  </si>
  <si>
    <t>Blacktown (C) - North</t>
  </si>
  <si>
    <t>Monash (C) - Waverley East</t>
  </si>
  <si>
    <t>Bellbowrie</t>
  </si>
  <si>
    <t>Onkaparinga (C) - Hackham</t>
  </si>
  <si>
    <t>Blacktown (C) - South-East</t>
  </si>
  <si>
    <t>Monash (C) - Waverley West</t>
  </si>
  <si>
    <t>Boondall</t>
  </si>
  <si>
    <t>Onkaparinga (C) - Hills</t>
  </si>
  <si>
    <t>Blacktown (C) - South-West</t>
  </si>
  <si>
    <t>Whitehorse (C) - Box Hill</t>
  </si>
  <si>
    <t>Bracken Ridge</t>
  </si>
  <si>
    <t>Onkaparinga (C) - Morphett</t>
  </si>
  <si>
    <t>Lower Northern Sydney</t>
  </si>
  <si>
    <t>Whitehorse (C) - Nunawading E.</t>
  </si>
  <si>
    <t>Bridgeman Downs</t>
  </si>
  <si>
    <t>Onkaparinga (C) - North Coast</t>
  </si>
  <si>
    <t>Hunters Hill (A)</t>
  </si>
  <si>
    <t>Whitehorse (C) - Nunawading W.</t>
  </si>
  <si>
    <t>Brighton</t>
  </si>
  <si>
    <t>Onkaparinga (C) - Reservoir</t>
  </si>
  <si>
    <t>Lane Cove (A)</t>
  </si>
  <si>
    <t>Eastern Outer Melbourne</t>
  </si>
  <si>
    <t>Brookfield (incl. Brisbane Forest Park)</t>
  </si>
  <si>
    <t>Onkaparinga (C) - South Coast</t>
  </si>
  <si>
    <t>Mosman (A)</t>
  </si>
  <si>
    <t>Knox (C) - North-East</t>
  </si>
  <si>
    <t>Carseldine</t>
  </si>
  <si>
    <t>Onkaparinga (C) - Woodcroft</t>
  </si>
  <si>
    <t>North Sydney (A)</t>
  </si>
  <si>
    <t>Knox (C) - North-West</t>
  </si>
  <si>
    <t>Chapel Hill</t>
  </si>
  <si>
    <t>Ryde (C)</t>
  </si>
  <si>
    <t>Knox (C) - South</t>
  </si>
  <si>
    <t>Chermside</t>
  </si>
  <si>
    <t>Willoughby (C)</t>
  </si>
  <si>
    <t>Maroondah (C) - Croydon</t>
  </si>
  <si>
    <t>Chermside West</t>
  </si>
  <si>
    <t>Central Northern Sydney</t>
  </si>
  <si>
    <t>Maroondah (C) - Ringwood</t>
  </si>
  <si>
    <t>Darra-Sumner</t>
  </si>
  <si>
    <t>The Hills Shire (A) - Central</t>
  </si>
  <si>
    <t>Yarra Ranges Shire Part A</t>
  </si>
  <si>
    <t>Deagon</t>
  </si>
  <si>
    <t>The Hills Shire (A) - North</t>
  </si>
  <si>
    <t>Yarra Ranges (S) - Central</t>
  </si>
  <si>
    <t>Doolandella-Forest Lake</t>
  </si>
  <si>
    <t>The Hills Shire (A) - South</t>
  </si>
  <si>
    <t>Yarra Ranges (S) - Dandenongs</t>
  </si>
  <si>
    <t>Durack</t>
  </si>
  <si>
    <t>Hornsby (A) - North</t>
  </si>
  <si>
    <t>Yarra Ranges (S) - Lilydale</t>
  </si>
  <si>
    <t>Ellen Grove</t>
  </si>
  <si>
    <t>Hornsby (A) - South</t>
  </si>
  <si>
    <t>Yarra Ranges (S) - North</t>
  </si>
  <si>
    <t>Everton Park</t>
  </si>
  <si>
    <t>Ku-ring-gai (A)</t>
  </si>
  <si>
    <t>Yarra Ranges (S) - Seville</t>
  </si>
  <si>
    <t>Ferny Grove</t>
  </si>
  <si>
    <t>Northern Beaches</t>
  </si>
  <si>
    <t>Southern Melbourne</t>
  </si>
  <si>
    <t>Fig Tree Pocket</t>
  </si>
  <si>
    <t>Manly (A)</t>
  </si>
  <si>
    <t>Bayside (C) - Brighton</t>
  </si>
  <si>
    <t>Geebung</t>
  </si>
  <si>
    <t>Pittwater (A)</t>
  </si>
  <si>
    <t>Bayside (C) - South</t>
  </si>
  <si>
    <t>Inala</t>
  </si>
  <si>
    <t>Warringah (A)</t>
  </si>
  <si>
    <t>Glen Eira (C) - Caulfield</t>
  </si>
  <si>
    <t>Jamboree Heights</t>
  </si>
  <si>
    <t>Central Coast</t>
  </si>
  <si>
    <t>Glen Eira (C) - South</t>
  </si>
  <si>
    <t>Jindalee</t>
  </si>
  <si>
    <t>Gosford (C) - East</t>
  </si>
  <si>
    <t>Kingston (C) - North</t>
  </si>
  <si>
    <t>Karana Downs-Lake Manchester</t>
  </si>
  <si>
    <t>Gosford (C) - West</t>
  </si>
  <si>
    <t>Kingston (C) - South</t>
  </si>
  <si>
    <t>Kenmore</t>
  </si>
  <si>
    <t>Wyong (A) - North-East</t>
  </si>
  <si>
    <t>Stonnington (C) - Malvern</t>
  </si>
  <si>
    <t>Kenmore Hills</t>
  </si>
  <si>
    <t>Wyong (A) - South and West</t>
  </si>
  <si>
    <t>Greater Dandenong City</t>
  </si>
  <si>
    <t>Keperra</t>
  </si>
  <si>
    <t>Gr. Dandenong (C) - Dandenong</t>
  </si>
  <si>
    <t>McDowall</t>
  </si>
  <si>
    <t>Gr. Dandenong (C) Bal</t>
  </si>
  <si>
    <t>Middle Park</t>
  </si>
  <si>
    <t>South Eastern Outer Melbourne</t>
  </si>
  <si>
    <t>Mitchelton</t>
  </si>
  <si>
    <t>Cardinia (S) - North</t>
  </si>
  <si>
    <t>Moggill</t>
  </si>
  <si>
    <t>Cardinia (S) - Pakenham</t>
  </si>
  <si>
    <t>Mount Ommaney</t>
  </si>
  <si>
    <t>Cardinia (S) - South</t>
  </si>
  <si>
    <t>Northgate</t>
  </si>
  <si>
    <t>Casey (C) - Berwick</t>
  </si>
  <si>
    <t>Nudgee</t>
  </si>
  <si>
    <t>Casey (C) - Cranbourne</t>
  </si>
  <si>
    <t>Oxley</t>
  </si>
  <si>
    <t>Casey (C) - Hallam</t>
  </si>
  <si>
    <t>Pinjarra Hills</t>
  </si>
  <si>
    <t>Casey (C) - South</t>
  </si>
  <si>
    <t>Pinkenba-Eagle Farm</t>
  </si>
  <si>
    <t>Frankston City</t>
  </si>
  <si>
    <t>Pullenvale</t>
  </si>
  <si>
    <t>Frankston (C) - East</t>
  </si>
  <si>
    <t>Richlands</t>
  </si>
  <si>
    <t>Frankston (C) - West</t>
  </si>
  <si>
    <t>Riverhills</t>
  </si>
  <si>
    <t>Mornington Peninsula Shire</t>
  </si>
  <si>
    <t>Sandgate</t>
  </si>
  <si>
    <t>Mornington P'sula (S) - East</t>
  </si>
  <si>
    <t>Seventeen Mile Rocks</t>
  </si>
  <si>
    <t>Mornington P'sula (S) - South</t>
  </si>
  <si>
    <t>Taigum-Fitzgibbon</t>
  </si>
  <si>
    <t>Mornington P'sula (S) - West</t>
  </si>
  <si>
    <t>The Gap</t>
  </si>
  <si>
    <t>Upper Kedron</t>
  </si>
  <si>
    <t>Virginia</t>
  </si>
  <si>
    <t>Wacol</t>
  </si>
  <si>
    <t>Wavell Heights</t>
  </si>
  <si>
    <t>Westlake</t>
  </si>
  <si>
    <t>Zillmere</t>
  </si>
  <si>
    <t>Southeast Inner Brisbane</t>
  </si>
  <si>
    <t>Annerley</t>
  </si>
  <si>
    <t>Balmoral</t>
  </si>
  <si>
    <t>Bulimba</t>
  </si>
  <si>
    <t>Camp Hill</t>
  </si>
  <si>
    <t>Cannon Hill</t>
  </si>
  <si>
    <t>Carindale</t>
  </si>
  <si>
    <t>Carina</t>
  </si>
  <si>
    <t>Carina Heights</t>
  </si>
  <si>
    <t>Coorparoo</t>
  </si>
  <si>
    <t>East Brisbane</t>
  </si>
  <si>
    <t>Fairfield</t>
  </si>
  <si>
    <t>Greenslopes</t>
  </si>
  <si>
    <t>Hawthorne</t>
  </si>
  <si>
    <t>Holland Park</t>
  </si>
  <si>
    <t>Holland Park West</t>
  </si>
  <si>
    <t>Moorooka</t>
  </si>
  <si>
    <t>Morningside</t>
  </si>
  <si>
    <t>Norman Park</t>
  </si>
  <si>
    <t>Tarragindi</t>
  </si>
  <si>
    <t>Yeerongpilly</t>
  </si>
  <si>
    <t>Yeronga</t>
  </si>
  <si>
    <t>Southeast Outer Brisbane</t>
  </si>
  <si>
    <t>Acacia Ridge</t>
  </si>
  <si>
    <t>Algester</t>
  </si>
  <si>
    <t>Archerfield</t>
  </si>
  <si>
    <t>Belmont-Mackenzie</t>
  </si>
  <si>
    <t>Burbank</t>
  </si>
  <si>
    <t>Calamvale</t>
  </si>
  <si>
    <t>Chandler-Capalaba West</t>
  </si>
  <si>
    <t>Coopers Plains</t>
  </si>
  <si>
    <t>Eight Mile Plains</t>
  </si>
  <si>
    <t>Gumdale-Ransome</t>
  </si>
  <si>
    <t>Hemmant-Lytton</t>
  </si>
  <si>
    <t>Kuraby</t>
  </si>
  <si>
    <t>Lota</t>
  </si>
  <si>
    <t>MacGregor</t>
  </si>
  <si>
    <t>Manly</t>
  </si>
  <si>
    <t>Manly West</t>
  </si>
  <si>
    <t>Mansfield</t>
  </si>
  <si>
    <t>Moreton Island</t>
  </si>
  <si>
    <t>Mount Gravatt</t>
  </si>
  <si>
    <t>Mount Gravatt East</t>
  </si>
  <si>
    <t>Murarrie</t>
  </si>
  <si>
    <t>Nathan</t>
  </si>
  <si>
    <t>Pallara-Heathwood-Larapinta</t>
  </si>
  <si>
    <t>Parkinson-Drewvale</t>
  </si>
  <si>
    <t>Robertson</t>
  </si>
  <si>
    <t>Rochedale</t>
  </si>
  <si>
    <t>Rocklea</t>
  </si>
  <si>
    <t>Runcorn</t>
  </si>
  <si>
    <t>Salisbury</t>
  </si>
  <si>
    <t>Stretton-Karawatha</t>
  </si>
  <si>
    <t>Sunnybank</t>
  </si>
  <si>
    <t>Sunnybank Hills</t>
  </si>
  <si>
    <t>Tingalpa</t>
  </si>
  <si>
    <t>Upper Mount Gravatt</t>
  </si>
  <si>
    <t>Wakerley</t>
  </si>
  <si>
    <t>Willawong</t>
  </si>
  <si>
    <t>Wishart</t>
  </si>
  <si>
    <t>Wynnum</t>
  </si>
  <si>
    <t>Wynnum West</t>
  </si>
  <si>
    <t>Caboolture</t>
  </si>
  <si>
    <t>Bribie Island</t>
  </si>
  <si>
    <t>Burpengary-Narangba</t>
  </si>
  <si>
    <t>Caboolture Central</t>
  </si>
  <si>
    <t>Caboolture East</t>
  </si>
  <si>
    <t>Caboolture Hinterland</t>
  </si>
  <si>
    <t>Caboolture Midwest</t>
  </si>
  <si>
    <t>Deception Bay</t>
  </si>
  <si>
    <t>Morayfield</t>
  </si>
  <si>
    <t>Ipswich City</t>
  </si>
  <si>
    <t>Ipswich (C) - Central</t>
  </si>
  <si>
    <t>Ipswich (C) - East</t>
  </si>
  <si>
    <t>Ipswich (C) - North</t>
  </si>
  <si>
    <t>Ipswich (C) - South-West</t>
  </si>
  <si>
    <t>Ipswich (C) - West</t>
  </si>
  <si>
    <t>Logan City</t>
  </si>
  <si>
    <t>Beenleigh</t>
  </si>
  <si>
    <t>Bethania-Waterford</t>
  </si>
  <si>
    <t>Browns Plains</t>
  </si>
  <si>
    <t>Carbrook-Cornubia</t>
  </si>
  <si>
    <t>Daisy Hill-Priestdale</t>
  </si>
  <si>
    <t>Eagleby</t>
  </si>
  <si>
    <t>Edens Landing-Holmview</t>
  </si>
  <si>
    <t>Greenbank-Boronia Heights</t>
  </si>
  <si>
    <t>Jimboomba-Logan Village</t>
  </si>
  <si>
    <t>Kingston</t>
  </si>
  <si>
    <t>Loganholme</t>
  </si>
  <si>
    <t>Loganlea</t>
  </si>
  <si>
    <t>Marsden</t>
  </si>
  <si>
    <t>Mt Warren Park</t>
  </si>
  <si>
    <t>Park Ridge-Logan Reserve</t>
  </si>
  <si>
    <t>Rochedale South</t>
  </si>
  <si>
    <t>Shailer Park</t>
  </si>
  <si>
    <t>Slacks Creek</t>
  </si>
  <si>
    <t>Springwood</t>
  </si>
  <si>
    <t>Tanah Merah</t>
  </si>
  <si>
    <t>Underwood</t>
  </si>
  <si>
    <t>Waterford West</t>
  </si>
  <si>
    <t>Wolffdene-Bahrs Scrub</t>
  </si>
  <si>
    <t>Woodridge</t>
  </si>
  <si>
    <t>Pine Rivers</t>
  </si>
  <si>
    <t>Albany Creek</t>
  </si>
  <si>
    <t>Bray Park</t>
  </si>
  <si>
    <t>Central Pine West</t>
  </si>
  <si>
    <t>Dakabin-Kallangur-M. Downs</t>
  </si>
  <si>
    <t>Griffin-Mango Hill</t>
  </si>
  <si>
    <t>Hills District</t>
  </si>
  <si>
    <t>Lawnton</t>
  </si>
  <si>
    <t>Petrie</t>
  </si>
  <si>
    <t>Strathpine-Brendale</t>
  </si>
  <si>
    <t>Moreton Bay (R) Bal</t>
  </si>
  <si>
    <t>Redcliffe</t>
  </si>
  <si>
    <t>Clontarf</t>
  </si>
  <si>
    <t>Margate-Woody Point</t>
  </si>
  <si>
    <t>Redcliffe-Scarborough</t>
  </si>
  <si>
    <t>Rothwell-Kippa-Ring</t>
  </si>
  <si>
    <t>Redland City</t>
  </si>
  <si>
    <t>Alexandra Hills</t>
  </si>
  <si>
    <t>Birkdale</t>
  </si>
  <si>
    <t>Capalaba</t>
  </si>
  <si>
    <t>Cleveland</t>
  </si>
  <si>
    <t>Ormiston</t>
  </si>
  <si>
    <t>Redland Bay</t>
  </si>
  <si>
    <t>Sheldon-Mt Cotton</t>
  </si>
  <si>
    <t>Thorneside</t>
  </si>
  <si>
    <t>Thornlands</t>
  </si>
  <si>
    <t>Victoria Point</t>
  </si>
  <si>
    <t>Wellington Point</t>
  </si>
  <si>
    <t>Redland (C) Bal</t>
  </si>
  <si>
    <t>"HEM Table 1" equivalent: by Income Level and Residency</t>
  </si>
  <si>
    <t>BASED ON PREDICTED VALUES FROM THE QUANTILE REGRESSIONS</t>
  </si>
  <si>
    <t>Smoothed HEM</t>
  </si>
  <si>
    <t>Total current gross HH income from all sources (measured in current dollars)</t>
  </si>
  <si>
    <t>Additional child</t>
  </si>
  <si>
    <t>dddd</t>
  </si>
  <si>
    <t>Couple</t>
  </si>
  <si>
    <t>2+0</t>
  </si>
  <si>
    <t>Couple with 1 child</t>
  </si>
  <si>
    <t>2+1</t>
  </si>
  <si>
    <t>Couple with 2 children</t>
  </si>
  <si>
    <t>2+2</t>
  </si>
  <si>
    <t>Couple with 3 or more children</t>
  </si>
  <si>
    <t>2+3</t>
  </si>
  <si>
    <t>2+4</t>
  </si>
  <si>
    <t>2+5</t>
  </si>
  <si>
    <t>2+6</t>
  </si>
  <si>
    <t>Single person</t>
  </si>
  <si>
    <t>1+0</t>
  </si>
  <si>
    <t>Single parent with 1 child</t>
  </si>
  <si>
    <t>1+1</t>
  </si>
  <si>
    <t>Single parent with 2 children</t>
  </si>
  <si>
    <t>1+2</t>
  </si>
  <si>
    <t>Single parent with 3 or more children</t>
  </si>
  <si>
    <t>1+3</t>
  </si>
  <si>
    <t>1+4</t>
  </si>
  <si>
    <t>1+5</t>
  </si>
  <si>
    <t>1+6</t>
  </si>
  <si>
    <t>Below is a copy/paste of Table 1 in the HPL publication</t>
  </si>
  <si>
    <t>The relevant column for the HEM is the last column, the column "Other than Housing in $ per week". This is because the HEM is net of housing expenditure.</t>
  </si>
  <si>
    <t>In the HPL different poverty lines are computed based on the head of the household's labour force status; This is not the case for the HEM. There is only one HEM.</t>
  </si>
  <si>
    <t>The 'standard' smoothed HEM by family type is presented to the right of HPL Table 1 and is in bold print; This is the smoothed HEM for Australia as a whole. It is calculated based on within family type expenditure on median absolute basics and the 25th percentile discretionary basics (i.e. based on raw data)</t>
  </si>
  <si>
    <t>The smoothed HEM values are moving averages over the current and the previous three quarters.</t>
  </si>
  <si>
    <t>Other tables report the HEM numbers by geographic location (State capital and balance of state), 13 different household income groups, and finally by geographic and household income levels. These numbers are obtained by predicting median absolute basic and the 25th percentile of discretionary basics using the estimation results from the quantile regressions.</t>
  </si>
  <si>
    <t>Then, these predicted values are added to get the predicted HEM. Finally, these predicted HEMs are averaged by family type. One exception is for single parents with 3 children. Due to the small sample size, the HEM for this group is simply the HEM for single parents with 2 children plus the increase in the HEM going from 1 to 2 children.</t>
  </si>
  <si>
    <t>The advantage of predicting the HEM is that there simply would not be enough families to get a reliable estimate for single parents with 2 children on more than $100K when trying to use raw data, let alone specifically for less densely populated areas (e.g. Tasmania excl. Hobart)</t>
  </si>
  <si>
    <t>"HPL Table 1"</t>
  </si>
  <si>
    <t>"HEM Table 1" equivalent</t>
  </si>
  <si>
    <t>"HEM Table 1" equivalent: by Geographic Location</t>
  </si>
  <si>
    <t>BASED ON RAW DATA</t>
  </si>
  <si>
    <t>or less</t>
  </si>
  <si>
    <t>to</t>
  </si>
  <si>
    <t>HEAD IN WORKFORCE</t>
  </si>
  <si>
    <t>Including Housing $ per week</t>
  </si>
  <si>
    <t>Other than Housing $ per week</t>
  </si>
  <si>
    <t>WORKFORCE STATUS HEAD NOT USED</t>
  </si>
  <si>
    <t>Other than Housing S per week</t>
  </si>
  <si>
    <t>ACT&amp;NT</t>
  </si>
  <si>
    <t>-</t>
  </si>
  <si>
    <t>Couple with 3 children</t>
  </si>
  <si>
    <t>Couple with 4 children</t>
  </si>
  <si>
    <t>Single parent with 3 children</t>
  </si>
  <si>
    <t>Single parent with 4 children</t>
  </si>
  <si>
    <t>HEAD NOT IN WORKFORCE</t>
  </si>
  <si>
    <t>Sample Sizes for different family types</t>
  </si>
  <si>
    <t>Sample Sizes for the different income categories (expressed in 2015 dollars)</t>
  </si>
  <si>
    <t>$20,000 or less</t>
  </si>
  <si>
    <t>$20,000 to $30,000</t>
  </si>
  <si>
    <t>$30,000 to $40,000</t>
  </si>
  <si>
    <t>$40,000 to $50,000</t>
  </si>
  <si>
    <t>$50,000 to $60,000</t>
  </si>
  <si>
    <t>$60,000 to $80,000</t>
  </si>
  <si>
    <t>$80,000 to $100,000</t>
  </si>
  <si>
    <t>$100,000 to $120,000</t>
  </si>
  <si>
    <t>$120,000 to $140,000</t>
  </si>
  <si>
    <t>$140,000 to $160,000</t>
  </si>
  <si>
    <t>$160,000 to $200,000</t>
  </si>
  <si>
    <t>$200,000 to $250,000</t>
  </si>
  <si>
    <t>$250,000 to $300,000</t>
  </si>
  <si>
    <t>$300,000 to $500,000</t>
  </si>
  <si>
    <t xml:space="preserve">Change date </t>
  </si>
  <si>
    <t>Change's made</t>
  </si>
  <si>
    <t xml:space="preserve">Changed by </t>
  </si>
  <si>
    <t xml:space="preserve">HEM updated to inlcude Drop In Table received from Perpetual on the 13/5/22 </t>
  </si>
  <si>
    <t xml:space="preserve">CCO - Taryn Pontifex </t>
  </si>
  <si>
    <t>Mortgage registration fees for each state updated in the Fees tab - effective 1 July 2022</t>
  </si>
  <si>
    <t>New MX Lending Consultant added to "Submitted by" Table - Adiyva Gharde</t>
  </si>
  <si>
    <t>Interest rates updated to reflect changes effective the 23rd June 2022 - increase</t>
  </si>
  <si>
    <t>Interest rates updated to reflect changes effective the 21st July 2022 - increase</t>
  </si>
  <si>
    <t>SMC- Justin Howell</t>
  </si>
  <si>
    <t>HELP table updated to reflect changes for FY23</t>
  </si>
  <si>
    <t>Confirmation added that tax rates and medicare levy surcharge remains unchanged for FY23</t>
  </si>
  <si>
    <t>Updated fee tab to inlcude ACT's registraton fees</t>
  </si>
  <si>
    <t>Amended Valuation and LMI calculator in the fee tab to include the standard valuation cost now covered by MOVE Bank.</t>
  </si>
  <si>
    <t xml:space="preserve">HEM updated to inlcude Drop In Table received from Perpetual on the 12/8/22 </t>
  </si>
  <si>
    <t>Interest rates updated to reflect changes effective the 22nd August 2022 - increase</t>
  </si>
  <si>
    <t>Living expenses amended to reflect new budget requested from applicants</t>
  </si>
  <si>
    <t>Private school fees added as an option for other commitments on the Worksheet tab</t>
  </si>
  <si>
    <t>New Straightforward Plus product added</t>
  </si>
  <si>
    <t>2 Year Fixed Rate Interest rates updated to reflect changes effective the 5th September 2022</t>
  </si>
  <si>
    <t>Interest rates updated to reflect changes effective the 23rd September 2022 - increase</t>
  </si>
  <si>
    <t>Interest rates updated to reflect changes effective the 14th October 2022 - increase new car loans</t>
  </si>
  <si>
    <t>Interest rates updated to reflect changes effective the 24th October 2022 - increase &amp; decrease of S/Forward Plus</t>
  </si>
  <si>
    <t xml:space="preserve">Adjusted DLAs for Senior Loan Assessors to allow them to approve 100% NSR for non mortgage loans. </t>
  </si>
  <si>
    <t>Removed Taryn Pontifex as an approval officer</t>
  </si>
  <si>
    <t xml:space="preserve">HEM updated to inlcude Drop In Table received from Perpetual on the 14/11/22 </t>
  </si>
  <si>
    <t>Interest rates updated to reflect changes effective the 1st December 2022 - increase</t>
  </si>
  <si>
    <t>Special Offer Personal Loan removed from sale</t>
  </si>
  <si>
    <t>Interest rates updated to reflect changes effective the 23rd December 2022 - increase</t>
  </si>
  <si>
    <t>DLAs updated to reflect policy amendments dated 6/12/22</t>
  </si>
  <si>
    <t>Floor rate raised to 7% as per policy amendments dated 6/12/22</t>
  </si>
  <si>
    <t>Renee Singh, Sarah Haines &amp; Julie O'Regan added as loan submitters. Ebony Gladden, Tracy Morris &amp; Maui Bernadas removed</t>
  </si>
  <si>
    <t>Other tables report the HEM numbers by geographic location (State capital and balance of state), 16 different household income groups, and finally by geographic and household income levels. These numbers are obtained by predicting median absolute basic and the 25th percentile of discretionary basics using the estimation results from the quantile regressions.</t>
  </si>
  <si>
    <t>Then, these predicted values are added to get the predicted HEM. Finally, these predicted HEMs are averaged by family type. [NOTE: NOT SO HERE. Instead, costs are single, couple and per child. Costs per child are calculated as 14% of the costs of the HEM for a (lone parent or couple) family with 2 children.]</t>
  </si>
  <si>
    <t>The advantage of predicting the HEM is that there simply would not be enough families to get a reliable estimate for single parents with 3 children on more than $100K when trying to use raw data, let alone specifically for less densely populated areas (e.g. Tasmania excl. Hobart)</t>
  </si>
  <si>
    <t>NEW FROM 2012Q4: Smoothed HEM</t>
  </si>
  <si>
    <t>Per child</t>
  </si>
  <si>
    <r>
      <t>Table A2.1: Quantile (50</t>
    </r>
    <r>
      <rPr>
        <b/>
        <vertAlign val="superscript"/>
        <sz val="11"/>
        <rFont val="Times New Roman"/>
        <family val="1"/>
      </rPr>
      <t>th</t>
    </r>
    <r>
      <rPr>
        <b/>
        <sz val="11"/>
        <rFont val="Times New Roman"/>
        <family val="1"/>
      </rPr>
      <t xml:space="preserve"> pctl) regression of expenditure on Absolute Basics</t>
    </r>
  </si>
  <si>
    <r>
      <t>Table A2.2: Quantile (25</t>
    </r>
    <r>
      <rPr>
        <b/>
        <vertAlign val="superscript"/>
        <sz val="11"/>
        <rFont val="Times New Roman"/>
        <family val="1"/>
      </rPr>
      <t>th</t>
    </r>
    <r>
      <rPr>
        <b/>
        <sz val="11"/>
        <rFont val="Times New Roman"/>
        <family val="1"/>
      </rPr>
      <t xml:space="preserve"> pctl) regression of expenditure on Discretionary Basics</t>
    </r>
  </si>
  <si>
    <t>Quantile (Median) Regression on Absolute Basics</t>
  </si>
  <si>
    <r>
      <t>Quantile (25</t>
    </r>
    <r>
      <rPr>
        <vertAlign val="superscript"/>
        <sz val="11"/>
        <color rgb="FF000000"/>
        <rFont val="Times New Roman"/>
        <family val="1"/>
      </rPr>
      <t>th</t>
    </r>
    <r>
      <rPr>
        <sz val="11"/>
        <color rgb="FF000000"/>
        <rFont val="Times New Roman"/>
        <family val="1"/>
      </rPr>
      <t xml:space="preserve"> percentile) Regression on Discretionary Basics</t>
    </r>
  </si>
  <si>
    <t>Characteristics of reference household:</t>
  </si>
  <si>
    <t>Couple without children</t>
  </si>
  <si>
    <t>Living in Sydney</t>
  </si>
  <si>
    <t>2 Bedrooms</t>
  </si>
  <si>
    <t>Have a mortgage</t>
  </si>
  <si>
    <t>HH reference person is male</t>
  </si>
  <si>
    <t>HH reference person is Australian born</t>
  </si>
  <si>
    <t>HH reference person is aged between 35 and 39 yrs</t>
  </si>
  <si>
    <t>HH reference person is employed</t>
  </si>
  <si>
    <t>Total Gross HH Income (from all sources) between $80,000 and $100,000</t>
  </si>
  <si>
    <t>In the 5th Net Wealth decile</t>
  </si>
  <si>
    <t>No credit cards</t>
  </si>
  <si>
    <t>Coef.</t>
  </si>
  <si>
    <t>Sig.</t>
  </si>
  <si>
    <t>Std. Err.</t>
  </si>
  <si>
    <t>t-value</t>
  </si>
  <si>
    <t>P&gt;|t|</t>
  </si>
  <si>
    <t>Constant</t>
  </si>
  <si>
    <t>***</t>
  </si>
  <si>
    <t>(992.1)</t>
  </si>
  <si>
    <t>(743.6)</t>
  </si>
  <si>
    <t>Family Type</t>
  </si>
  <si>
    <t>[REF: Couple without dependents]</t>
  </si>
  <si>
    <t>(401.8)</t>
  </si>
  <si>
    <t>(301.2)</t>
  </si>
  <si>
    <t>Couple with 1 dependent</t>
  </si>
  <si>
    <t>(1911.1)</t>
  </si>
  <si>
    <t>(1432.4)</t>
  </si>
  <si>
    <t>Couple with 2 dependents</t>
  </si>
  <si>
    <t>(3681.1)</t>
  </si>
  <si>
    <t>(2759.1)</t>
  </si>
  <si>
    <t>Couple with 3 dependents</t>
  </si>
  <si>
    <t>(5514.5)</t>
  </si>
  <si>
    <t>(4133.3)</t>
  </si>
  <si>
    <t>Couple with 4 or more dependents</t>
  </si>
  <si>
    <t>(7393.2)</t>
  </si>
  <si>
    <t>(5541.4)</t>
  </si>
  <si>
    <t>Lone parent with 1 dependent</t>
  </si>
  <si>
    <t>**</t>
  </si>
  <si>
    <t>(2028.4)</t>
  </si>
  <si>
    <t>(1520.4)</t>
  </si>
  <si>
    <t>Lone parent with 2 dependents</t>
  </si>
  <si>
    <t>(3766.8)</t>
  </si>
  <si>
    <t>(2823.4)</t>
  </si>
  <si>
    <t>Lone parent with 3 or more dependents</t>
  </si>
  <si>
    <t>(6272.4)</t>
  </si>
  <si>
    <t>(4701.4)</t>
  </si>
  <si>
    <t>Number of dependent children in household</t>
  </si>
  <si>
    <t>aged 0 to 14 years</t>
  </si>
  <si>
    <t>(1820.0)</t>
  </si>
  <si>
    <t>(1364.1)</t>
  </si>
  <si>
    <t>aged 15 to 24 years</t>
  </si>
  <si>
    <t>(1857.6)</t>
  </si>
  <si>
    <t>(1392.3)</t>
  </si>
  <si>
    <t>Household Reference Person Characteristics</t>
  </si>
  <si>
    <t>[REF: 35 to 39]</t>
  </si>
  <si>
    <t>24 or younger</t>
  </si>
  <si>
    <t>(1060.6)</t>
  </si>
  <si>
    <t>(795.0)</t>
  </si>
  <si>
    <t>25 to 29</t>
  </si>
  <si>
    <t>(772.2)</t>
  </si>
  <si>
    <t>(578.8)</t>
  </si>
  <si>
    <t>30 to 34</t>
  </si>
  <si>
    <t>(656.7)</t>
  </si>
  <si>
    <t>(492.3)</t>
  </si>
  <si>
    <t>40 to 44</t>
  </si>
  <si>
    <t>(638.1)</t>
  </si>
  <si>
    <t>(478.3)</t>
  </si>
  <si>
    <t>45 to 49</t>
  </si>
  <si>
    <t>*</t>
  </si>
  <si>
    <t>(672.2)</t>
  </si>
  <si>
    <t>(503.8)</t>
  </si>
  <si>
    <t>50 to 54</t>
  </si>
  <si>
    <t>(712.7)</t>
  </si>
  <si>
    <t>(534.2)</t>
  </si>
  <si>
    <t>55 to 59</t>
  </si>
  <si>
    <t>(741.3)</t>
  </si>
  <si>
    <t>(555.6)</t>
  </si>
  <si>
    <t>60 to 64</t>
  </si>
  <si>
    <t>(763.8)</t>
  </si>
  <si>
    <t>(572.5)</t>
  </si>
  <si>
    <t>65 to 69</t>
  </si>
  <si>
    <t>(780.6)</t>
  </si>
  <si>
    <t>(585.1)</t>
  </si>
  <si>
    <t>70 to 74</t>
  </si>
  <si>
    <t>(828.5)</t>
  </si>
  <si>
    <t>(621.0)</t>
  </si>
  <si>
    <t>75 to 79</t>
  </si>
  <si>
    <t>(879.5)</t>
  </si>
  <si>
    <t>(659.2)</t>
  </si>
  <si>
    <t>80 or older</t>
  </si>
  <si>
    <t>(863.5)</t>
  </si>
  <si>
    <t>(647.2)</t>
  </si>
  <si>
    <t>[REF: Male]</t>
  </si>
  <si>
    <t>Female</t>
  </si>
  <si>
    <t>(295.4)</t>
  </si>
  <si>
    <t>(221.4)</t>
  </si>
  <si>
    <t>[REF: Employed]</t>
  </si>
  <si>
    <t>Not employed</t>
  </si>
  <si>
    <t>(477.8)</t>
  </si>
  <si>
    <t>(358.1)</t>
  </si>
  <si>
    <t>Geography</t>
  </si>
  <si>
    <t>[REF: Sydney]</t>
  </si>
  <si>
    <t>NSW_balance</t>
  </si>
  <si>
    <t>(702.4)</t>
  </si>
  <si>
    <t>(526.4)</t>
  </si>
  <si>
    <t>(453.1)</t>
  </si>
  <si>
    <t>(339.6)</t>
  </si>
  <si>
    <t>VIC_balance</t>
  </si>
  <si>
    <t>(757.0)</t>
  </si>
  <si>
    <t>(567.4)</t>
  </si>
  <si>
    <t>(540.5)</t>
  </si>
  <si>
    <t>(405.1)</t>
  </si>
  <si>
    <t>QLD_balance</t>
  </si>
  <si>
    <t>(726.9)</t>
  </si>
  <si>
    <t>(544.9)</t>
  </si>
  <si>
    <t>(538.9)</t>
  </si>
  <si>
    <t>(404.0)</t>
  </si>
  <si>
    <t>SA_balance</t>
  </si>
  <si>
    <t>(912.9)</t>
  </si>
  <si>
    <t>(684.2)</t>
  </si>
  <si>
    <t>(545.2)</t>
  </si>
  <si>
    <t>(408.6)</t>
  </si>
  <si>
    <t>WA_balance</t>
  </si>
  <si>
    <t>(955.6)</t>
  </si>
  <si>
    <t>(716.3)</t>
  </si>
  <si>
    <t>(652.9)</t>
  </si>
  <si>
    <t>(489.4)</t>
  </si>
  <si>
    <t>TAS_balance</t>
  </si>
  <si>
    <t>(982.0)</t>
  </si>
  <si>
    <t>(736.0)</t>
  </si>
  <si>
    <t>ACT_NT</t>
  </si>
  <si>
    <t>(637.1)</t>
  </si>
  <si>
    <t>(477.5)</t>
  </si>
  <si>
    <t>Housing Tenure Variables</t>
  </si>
  <si>
    <t>[REF: 2 bedrooms]</t>
  </si>
  <si>
    <t>1 or less</t>
  </si>
  <si>
    <t>(673.6)</t>
  </si>
  <si>
    <t>(504.9)</t>
  </si>
  <si>
    <t>(383.9)</t>
  </si>
  <si>
    <t>(287.7)</t>
  </si>
  <si>
    <t>(473.7)</t>
  </si>
  <si>
    <t>(355.1)</t>
  </si>
  <si>
    <t>5 or more</t>
  </si>
  <si>
    <t>(810.3)</t>
  </si>
  <si>
    <t>(607.3)</t>
  </si>
  <si>
    <t>[REF: Owner with a mortgage]</t>
  </si>
  <si>
    <t>Owner without mortgage</t>
  </si>
  <si>
    <t>(441.0)</t>
  </si>
  <si>
    <t>(330.6)</t>
  </si>
  <si>
    <t>Renter</t>
  </si>
  <si>
    <t>(495.6)</t>
  </si>
  <si>
    <t>(371.5)</t>
  </si>
  <si>
    <t>Total Gross Household Income from All Sources</t>
  </si>
  <si>
    <t>[Income levels measured in 2015 dollars]</t>
  </si>
  <si>
    <t>[REF: Between $80,000 and $100,000]</t>
  </si>
  <si>
    <t>(973.5)</t>
  </si>
  <si>
    <t>(729.6)</t>
  </si>
  <si>
    <t>(721.6)</t>
  </si>
  <si>
    <t>(540.9)</t>
  </si>
  <si>
    <t>(666.4)</t>
  </si>
  <si>
    <t>(499.5)</t>
  </si>
  <si>
    <t>(678.7)</t>
  </si>
  <si>
    <t>(508.7)</t>
  </si>
  <si>
    <t>(692.0)</t>
  </si>
  <si>
    <t>(518.7)</t>
  </si>
  <si>
    <t>(610.6)</t>
  </si>
  <si>
    <t>(457.7)</t>
  </si>
  <si>
    <t>(672.8)</t>
  </si>
  <si>
    <t>(504.3)</t>
  </si>
  <si>
    <t>(728.8)</t>
  </si>
  <si>
    <t>(546.2)</t>
  </si>
  <si>
    <t>(797.0)</t>
  </si>
  <si>
    <t>(597.4)</t>
  </si>
  <si>
    <t>(745.4)</t>
  </si>
  <si>
    <t>(558.7)</t>
  </si>
  <si>
    <t>(832.6)</t>
  </si>
  <si>
    <t>(624.1)</t>
  </si>
  <si>
    <t>(1257.7)</t>
  </si>
  <si>
    <t>(942.7)</t>
  </si>
  <si>
    <t>(1055.0)</t>
  </si>
  <si>
    <t>(790.8)</t>
  </si>
  <si>
    <t>Net Wealth Decile</t>
  </si>
  <si>
    <t>[REF: Decile 5]</t>
  </si>
  <si>
    <t>(807.7)</t>
  </si>
  <si>
    <t>(605.4)</t>
  </si>
  <si>
    <t>(753.9)</t>
  </si>
  <si>
    <t>(565.1)</t>
  </si>
  <si>
    <t>(668.1)</t>
  </si>
  <si>
    <t>(500.8)</t>
  </si>
  <si>
    <t>(613.0)</t>
  </si>
  <si>
    <t>(459.4)</t>
  </si>
  <si>
    <t>(606.0)</t>
  </si>
  <si>
    <t>(454.2)</t>
  </si>
  <si>
    <t>(613.5)</t>
  </si>
  <si>
    <t>(459.9)</t>
  </si>
  <si>
    <t>(624.0)</t>
  </si>
  <si>
    <t>(467.7)</t>
  </si>
  <si>
    <t>(639.7)</t>
  </si>
  <si>
    <t>(479.5)</t>
  </si>
  <si>
    <t>(682.8)</t>
  </si>
  <si>
    <t>(511.8)</t>
  </si>
  <si>
    <t>Budget Pressure</t>
  </si>
  <si>
    <t>[REF: Usually able to save]</t>
  </si>
  <si>
    <t>Usually breaks even</t>
  </si>
  <si>
    <t>(310.8)</t>
  </si>
  <si>
    <t>(233.0)</t>
  </si>
  <si>
    <t>Usually spends more than they have</t>
  </si>
  <si>
    <t>(343.1)</t>
  </si>
  <si>
    <t>Number of credit cards in the household</t>
  </si>
  <si>
    <t>[REF: no cards]</t>
  </si>
  <si>
    <t>(344.2)</t>
  </si>
  <si>
    <t>(258.0)</t>
  </si>
  <si>
    <t>(445.3)</t>
  </si>
  <si>
    <t>(333.8)</t>
  </si>
  <si>
    <t>(667.6)</t>
  </si>
  <si>
    <t>(500.4)</t>
  </si>
  <si>
    <t>4 or more</t>
  </si>
  <si>
    <t>(845.2)</t>
  </si>
  <si>
    <t>(633.5)</t>
  </si>
  <si>
    <t>Number of observations (households)</t>
  </si>
  <si>
    <t>Pseudo R-square</t>
  </si>
  <si>
    <t>* significant at 10%; ** significant at 5%; *** significant at 1%</t>
  </si>
  <si>
    <t>Scott Uren</t>
  </si>
  <si>
    <t>Teri Hawkins</t>
  </si>
  <si>
    <t>HL S/Fwd Plus 80-90</t>
  </si>
  <si>
    <t>L52_90</t>
  </si>
  <si>
    <t>Inv S/Fwd Plus 80-90</t>
  </si>
  <si>
    <t>Inv S/Fwd Plus IO 80-90</t>
  </si>
  <si>
    <t>80-90 Loading</t>
  </si>
  <si>
    <t>90-95 Loading</t>
  </si>
  <si>
    <t>HL S/Fwd Plus 90-95</t>
  </si>
  <si>
    <t>L52_95</t>
  </si>
  <si>
    <t>HEM updated to inlcude Drop In Table received from Perpetual on the 12/2/23</t>
  </si>
  <si>
    <t>Interest rates updated to reflect changes effective the 22nd February 2023 - increase &amp; &gt; 80% loading on SW Plus</t>
  </si>
  <si>
    <t>Removed Therese Turner as an approval officer, added Mel Treacy &amp; Teri Hawkins</t>
  </si>
  <si>
    <t>Removed Matt Dam &amp; Ina Sander as submitting officers. Added Scott Uren.</t>
  </si>
  <si>
    <t>L18_90</t>
  </si>
  <si>
    <t>L18_IO_90</t>
  </si>
  <si>
    <t>80-90 loading</t>
  </si>
  <si>
    <t>90-95 loading</t>
  </si>
  <si>
    <t>Mike Currie</t>
  </si>
  <si>
    <t>Interest rates updated to reflect changes effective the 23rd March 2023 - increase</t>
  </si>
  <si>
    <t>Removed Ashlee Atkins &amp; Sarah Haines as submitting officers. Added Joe Gavarra.</t>
  </si>
  <si>
    <t>Added Mike Currie as approving officer for loans and waivers. Removed Mel Treacy</t>
  </si>
  <si>
    <t>Removed Eliott Hayes &amp; Renee Singh as submitting officers. Added Jordan Bentley &amp; Stu Ronneberg.</t>
  </si>
  <si>
    <t>Interest rates updated to reflect changes effective the 3rd May 2023 - increase 1 FRL</t>
  </si>
  <si>
    <t>Interest rates updated to reflect changes effective the 24th May 2023 - increase across the board</t>
  </si>
  <si>
    <t>HEM updated to inlcude Drop In Table received from Perpetual on the 22/5/23</t>
  </si>
  <si>
    <t>Taryn Pontifex</t>
  </si>
  <si>
    <t>80%</t>
  </si>
  <si>
    <t>2023 Registration Fee Schedule</t>
  </si>
  <si>
    <t>Amended Senior Credit Assessor and Credit Assessor DLAs as per policy change dated 16/6/23</t>
  </si>
  <si>
    <t>Added Taryn Ponitfex as approving officer and amended CCO DLA to COO</t>
  </si>
  <si>
    <t>Interest rates updated to reflect changes effective the 23rd June 2023 - increase across the board</t>
  </si>
  <si>
    <t>HELP table updated to reflect changes for FY24</t>
  </si>
  <si>
    <t>Medicare Levy surcharge figures updated to reflect change for FY24</t>
  </si>
  <si>
    <t>Confirmation added that tax rates and medicare levy  remains unchanged for FY24</t>
  </si>
  <si>
    <t>Mortgage registration fees for each state updated in the Fees tab - effective 1 July 2023</t>
  </si>
  <si>
    <t>Interest rates updated to reflect changes effective the 4th August 2023 - increase to fixed rates</t>
  </si>
  <si>
    <t>80-90 Inv Loading</t>
  </si>
  <si>
    <t>Interest rates updated to reflect changes effective the 1st September 2023 - increase to fixed rates, new car loans and SF Plus suite</t>
  </si>
  <si>
    <t>HEM updated to inlcude Drop In Table received from Perpetual on the 15/8/23</t>
  </si>
  <si>
    <t>SMC</t>
  </si>
  <si>
    <t>COO</t>
  </si>
  <si>
    <t>DLA - $2m&lt;$3m</t>
  </si>
  <si>
    <t>CEO</t>
  </si>
  <si>
    <t>Interest rates updated to reflect changes effective the 22nd November 2023 - increase across the for variable rate loans</t>
  </si>
  <si>
    <t>DLAs updated to reflect policy amendments dated November</t>
  </si>
  <si>
    <t>HL Everyday 80 (Sal Cred)</t>
  </si>
  <si>
    <t>L1_80_SC</t>
  </si>
  <si>
    <t>HL Everyday 90 (Sal Cred)</t>
  </si>
  <si>
    <t>L1_90_SC</t>
  </si>
  <si>
    <t>HL Everyday 95 (Sal Cred)</t>
  </si>
  <si>
    <t>L1_95_SC</t>
  </si>
  <si>
    <t>HL Everyday 80 IO (Sal Cred)</t>
  </si>
  <si>
    <t>L1_80_IO_SC</t>
  </si>
  <si>
    <t>HL Everyday 90 IO (Sal Cred)</t>
  </si>
  <si>
    <t>L1_90_IO_SC</t>
  </si>
  <si>
    <t>HL Everyday 95 IO (Sal Cred)</t>
  </si>
  <si>
    <t>L1_95_IO_SC</t>
  </si>
  <si>
    <t>HL Everyday Fixed 1 Year (Sal Cred)</t>
  </si>
  <si>
    <t>L1_F1_SC</t>
  </si>
  <si>
    <t>HL Everyday Fixed 1 Year IO (Sal Cred)</t>
  </si>
  <si>
    <t>L1_F1_IO_SC</t>
  </si>
  <si>
    <t>HL Everyday Fixed 2 Year (Sal Cred)</t>
  </si>
  <si>
    <t>L1_F2_SC</t>
  </si>
  <si>
    <t>HL Everyday Fixed 3 Year (Sal Cred)</t>
  </si>
  <si>
    <t>L1_F3_SC</t>
  </si>
  <si>
    <t>HL Everyday Fixed 5 Year (Sal Cred)</t>
  </si>
  <si>
    <t>L1_F5_SC</t>
  </si>
  <si>
    <t>HL Everyday Roll Rate (Sal Cred)</t>
  </si>
  <si>
    <t>L1_Roll_SC</t>
  </si>
  <si>
    <t>INV Everyday 80 (Sal Cred)</t>
  </si>
  <si>
    <t>L1_INV80_SC</t>
  </si>
  <si>
    <t>INV Everyday 90 (Sal Cred)</t>
  </si>
  <si>
    <t>L1_INV90_SC</t>
  </si>
  <si>
    <t>INV Everyday 80 IO (Sal Cred)</t>
  </si>
  <si>
    <t>L1_INV80_IO_SC</t>
  </si>
  <si>
    <t>INV Everyday 90 IO (Sal Cred)</t>
  </si>
  <si>
    <t>L1_INV90_IO_SC</t>
  </si>
  <si>
    <t>INV Everyday Fixed 1 Year (Sal Cred)</t>
  </si>
  <si>
    <t>L1_INVF1_SC</t>
  </si>
  <si>
    <t>INV Everyday Fixed 2 Year (Sal Cred)</t>
  </si>
  <si>
    <t>L1_INVF2_SC</t>
  </si>
  <si>
    <t>INV Everyday Fixed 3 Year (Sal Cred)</t>
  </si>
  <si>
    <t>L1_INVF3_SC</t>
  </si>
  <si>
    <t>INV Everyday Fixed 5 Year (Sal Cred)</t>
  </si>
  <si>
    <t>L1_INVF5_SC</t>
  </si>
  <si>
    <t>INV Everyday Fixed 1 Year IO (Sal Cred)</t>
  </si>
  <si>
    <t>L1_INVF1_IO_SC</t>
  </si>
  <si>
    <t>INV Everyday Fixed 2 Year IO (Sal Cred)</t>
  </si>
  <si>
    <t>L1_INVF2_IO_SC</t>
  </si>
  <si>
    <t>INV Everyday Fixed 3 Year IO (Sal Cred)</t>
  </si>
  <si>
    <t>L1_INVF3_IO_SC</t>
  </si>
  <si>
    <t>INV Everyday Fixed 5 Year IO (Sal Cred)</t>
  </si>
  <si>
    <t>L1_INVF5_IO_SC</t>
  </si>
  <si>
    <t>INV Everyday Roll Rate (Sal Cred)</t>
  </si>
  <si>
    <t>L1_INVRoll_SC</t>
  </si>
  <si>
    <t xml:space="preserve">HL Everyday 80 (Non Sal Cred) </t>
  </si>
  <si>
    <t>L1_80_NSC</t>
  </si>
  <si>
    <t>HL Everyday 90 (Non Sal Cred)</t>
  </si>
  <si>
    <t>L1_90_NSC</t>
  </si>
  <si>
    <t>HL Everyday 95 (Non Sal Cred)</t>
  </si>
  <si>
    <t>L1_95_NSC</t>
  </si>
  <si>
    <t>HL Everyday 80 IO (Non Sal Cred)</t>
  </si>
  <si>
    <t>L1_80_IO_NSC</t>
  </si>
  <si>
    <t>HL Everyday 90 IO (Non Sal Cred)</t>
  </si>
  <si>
    <t>L1_90_IO_NSC</t>
  </si>
  <si>
    <t>HL Everyday 95 IO (Non Sal Cred)</t>
  </si>
  <si>
    <t>L1_95_IO_NSC</t>
  </si>
  <si>
    <t>HL Everyday Fixed 1 Year (Non Sal Cred)</t>
  </si>
  <si>
    <t>L1_F1_NSC</t>
  </si>
  <si>
    <t>HL Everyday Fixed 2 Year (Non Sal Cred)</t>
  </si>
  <si>
    <t>L1_F2_NSC</t>
  </si>
  <si>
    <t>HL Everyday Fixed 3 Year (Non Sal Cred)</t>
  </si>
  <si>
    <t>L1_F3_NSC</t>
  </si>
  <si>
    <t>HL Everyday Fixed 5 Year (Non Sal Cred)</t>
  </si>
  <si>
    <t>L1_F5_NSC</t>
  </si>
  <si>
    <t>HL Everyday Roll Rate (Non Sal Cred)</t>
  </si>
  <si>
    <t>L1_Roll_NSC</t>
  </si>
  <si>
    <t>INV Everyday 80 (Non Sal Cred)</t>
  </si>
  <si>
    <t>L1_INV80_NSC</t>
  </si>
  <si>
    <t>INV Everyday 90 (Non Sal Cred)</t>
  </si>
  <si>
    <t>L1_INV90_NSC</t>
  </si>
  <si>
    <t>INV Everyday 80 IO (Non Sal Cred)</t>
  </si>
  <si>
    <t>L1_INV80_IO_NSC</t>
  </si>
  <si>
    <t>INV Everyday 90 IO (Non Sal Cred)</t>
  </si>
  <si>
    <t>L1_INV90_IO_NSC</t>
  </si>
  <si>
    <t>INV Everyday Fixed 1 Year (Non Sal Cred)</t>
  </si>
  <si>
    <t>L1_INVF1_NSC</t>
  </si>
  <si>
    <t>INV Everyday Fixed 2 Year (Non Sal Cred)</t>
  </si>
  <si>
    <t>L1_INVF2_NSC</t>
  </si>
  <si>
    <t>INV Everyday Fixed 3 Year (Non Sal Cred)</t>
  </si>
  <si>
    <t>L1_INVF3_NSC</t>
  </si>
  <si>
    <t>INV Everyday Fixed 5 Year (Non Sal Cred)</t>
  </si>
  <si>
    <t>L1_INVF5_NSC</t>
  </si>
  <si>
    <t>INV Everyday Fixed 1 Year IO (Non Sal Cred)</t>
  </si>
  <si>
    <t>L1_INVF1_IO_NSC</t>
  </si>
  <si>
    <t>INV Everyday Fixed 2 Year IO (Non Sal Cred)</t>
  </si>
  <si>
    <t>L1_INVF2_IO_NSC</t>
  </si>
  <si>
    <t>INV Everyday Fixed 3 Year IO (Non Sal Cred)</t>
  </si>
  <si>
    <t>L1_INVF3_IO_NSC</t>
  </si>
  <si>
    <t>INV Everyday Fixed 5 Year IO (Non Sal Cred)</t>
  </si>
  <si>
    <t>L1_INVF5_IO_NSC</t>
  </si>
  <si>
    <t>INV Roll Rate (Non Sal cred)</t>
  </si>
  <si>
    <t>L1_INVRoll_NSC</t>
  </si>
  <si>
    <t>HL Offset 80</t>
  </si>
  <si>
    <t>L2_OFF_80</t>
  </si>
  <si>
    <t>HL Offset 90</t>
  </si>
  <si>
    <t>L2_OFF_90</t>
  </si>
  <si>
    <t>HL Offset 95</t>
  </si>
  <si>
    <t>L2_OFF_95</t>
  </si>
  <si>
    <t>HL Offset IO 80</t>
  </si>
  <si>
    <t>L2_OFF_IO_80</t>
  </si>
  <si>
    <t>HL Offset IO 90</t>
  </si>
  <si>
    <t>L2_OFF_IO_90</t>
  </si>
  <si>
    <t>HL Offset IO 95</t>
  </si>
  <si>
    <t>L2_OFF_IO_95</t>
  </si>
  <si>
    <t>HL Offset Fixed 1 Year</t>
  </si>
  <si>
    <t>L2_OFF_ F1</t>
  </si>
  <si>
    <t>HL Offset Fixed 1 Year IO</t>
  </si>
  <si>
    <t>L2_OFF_F1_IO</t>
  </si>
  <si>
    <t>HL Offset Fixed 2 Year</t>
  </si>
  <si>
    <t>L2_OFF_F2</t>
  </si>
  <si>
    <t>HL Offset Fixed 3 Year</t>
  </si>
  <si>
    <t>L2_OFF_F3</t>
  </si>
  <si>
    <t>HL Offset Fixed 5 Year</t>
  </si>
  <si>
    <t>L2_OFF_F5</t>
  </si>
  <si>
    <t xml:space="preserve">HL Offset Roll Rate </t>
  </si>
  <si>
    <t>L2_OFF_Roll</t>
  </si>
  <si>
    <t>INV Offset 80</t>
  </si>
  <si>
    <t>L2_OFF_INV80</t>
  </si>
  <si>
    <t>INV Offset 90</t>
  </si>
  <si>
    <t>L2_OFF_INV90</t>
  </si>
  <si>
    <t>INV Offset 80 IO</t>
  </si>
  <si>
    <t>L2_OFF_INV80_IO</t>
  </si>
  <si>
    <t>INV Offset 90 IO</t>
  </si>
  <si>
    <t>L2_OFF_INV90_IO</t>
  </si>
  <si>
    <t>INV Offset Fixed 1 Year</t>
  </si>
  <si>
    <t>L2_OFF_INVFI</t>
  </si>
  <si>
    <t>INV Offset Fixed 2 Year</t>
  </si>
  <si>
    <t>L2_OFF_INVF2</t>
  </si>
  <si>
    <t>INV Offset Fixed 3 Year</t>
  </si>
  <si>
    <t>L2_OFF_INVF3</t>
  </si>
  <si>
    <t>INV Offset Fixed 5 Year</t>
  </si>
  <si>
    <t>L2_OFF_INVF5</t>
  </si>
  <si>
    <t>INV Offset Fixed 1 Year IO</t>
  </si>
  <si>
    <t>L2_OFF_INVF1_IO</t>
  </si>
  <si>
    <t>INV Offset Fixed 2 Year IO</t>
  </si>
  <si>
    <t>L2_OFF_INVF2_IO</t>
  </si>
  <si>
    <t>INV Offset Fixed 3 Year IO</t>
  </si>
  <si>
    <t>L2_OFF_INVF3_IO</t>
  </si>
  <si>
    <t>INV Offset Fixed 5 Year IO</t>
  </si>
  <si>
    <t>L2_OFF_INVF5_IO</t>
  </si>
  <si>
    <t>INV Offset Roll Rate</t>
  </si>
  <si>
    <t>L2_OFF_INVRoll</t>
  </si>
  <si>
    <t>Update 2024-2025 income tax brackets, Medicare thresholds and HELP brackets</t>
  </si>
  <si>
    <t>CLM - Kellie Towerton</t>
  </si>
  <si>
    <t>Brooke Newlove</t>
  </si>
  <si>
    <t>Update 2024-2025 registration fees</t>
  </si>
  <si>
    <t>Interest rates updated to reflect changes effective the 15/08/2024 - increase across the board</t>
  </si>
  <si>
    <t>Version 1 -November 24</t>
  </si>
  <si>
    <t xml:space="preserve">School Education </t>
  </si>
  <si>
    <t>Updated DLA's, Titles, added construction and self-employed tab</t>
  </si>
  <si>
    <t>HEM updated to included Drop In Table received from Perpetual on 15/11/2024</t>
  </si>
  <si>
    <t>Rate Change applied, Public school fees renamed to school fees</t>
  </si>
  <si>
    <t>CTL - Teri Hawkins</t>
  </si>
  <si>
    <t>Rate change applied (reduction of all variable products), reduction of overdraft products, floor rate reduction, HEM update, Delegation in loan limit changes for personal loans</t>
  </si>
  <si>
    <t>Mariah Foy</t>
  </si>
  <si>
    <t>CTL</t>
  </si>
  <si>
    <t>Amended car loan interest rates - reduction as at 11 April</t>
  </si>
  <si>
    <t>HEM updated to included Drop In Table received from Perpetual on 15/05/2024</t>
  </si>
  <si>
    <t>Change ($) from previous Quarter</t>
  </si>
  <si>
    <t>Rate change applied (reduction in variable rate products).</t>
  </si>
  <si>
    <t>Annual change to Tax, Medicare Levey surcharge, HELP and registration fees</t>
  </si>
  <si>
    <t>Mortgage registration</t>
  </si>
  <si>
    <t>HELP Table 2025-26</t>
  </si>
  <si>
    <t>Diff $</t>
  </si>
  <si>
    <t>Tax Return</t>
  </si>
  <si>
    <t>NOA</t>
  </si>
  <si>
    <t>Tax Return (Employer)</t>
  </si>
  <si>
    <t>Supporting Documentation Check</t>
  </si>
  <si>
    <t>Income to be applied</t>
  </si>
  <si>
    <t xml:space="preserve">Enter % </t>
  </si>
  <si>
    <t>Distrubtion of Income</t>
  </si>
  <si>
    <t xml:space="preserve">Net Available Income </t>
  </si>
  <si>
    <t xml:space="preserve">Total Add Backs </t>
  </si>
  <si>
    <t>*Other Add backs</t>
  </si>
  <si>
    <t>Superannuation (In excess of compulsory)</t>
  </si>
  <si>
    <t>Allowable Add Backs</t>
  </si>
  <si>
    <t>Total Profit/Loss</t>
  </si>
  <si>
    <t>(minus non recurring income)</t>
  </si>
  <si>
    <t xml:space="preserve">Profit Before Tax </t>
  </si>
  <si>
    <t xml:space="preserve">Deductions </t>
  </si>
  <si>
    <t>Total Expenses</t>
  </si>
  <si>
    <t xml:space="preserve">Total Expenses </t>
  </si>
  <si>
    <t xml:space="preserve">Other Income </t>
  </si>
  <si>
    <t>Gross Income</t>
  </si>
  <si>
    <t xml:space="preserve">Tax Year Ending </t>
  </si>
  <si>
    <t xml:space="preserve">Last two year average </t>
  </si>
  <si>
    <t>Previous Year</t>
  </si>
  <si>
    <t>Current Year</t>
  </si>
  <si>
    <t>Self Employed Calculator</t>
  </si>
  <si>
    <t>Click on the location wizard link and cut and paste the results into the page</t>
  </si>
  <si>
    <t>Location Wizard | Find maximum loan amount | QBE LMI</t>
  </si>
  <si>
    <t>Namita Bansal</t>
  </si>
  <si>
    <t>Rate reduction on variable and fixed rate home loan products, HEM update, update to prior year ending in salary table (worksheet), update sales and distribution staff</t>
  </si>
  <si>
    <t>Medicare Levy surcharge figures updated to reflect change for FY25, HELP brackets, 25-26 reg fees</t>
  </si>
  <si>
    <t>Front book rate reduction 0.10% &lt;80% LVR, rate reduction in New car loans 0.26%, Green Car loans 0.26% and any age car loans 0.10%</t>
  </si>
  <si>
    <t>HEM update</t>
  </si>
  <si>
    <t>Confirm YES or select NO</t>
  </si>
  <si>
    <t>** Updated restricted locations received by QBE newsflash effective 08/12/2025.</t>
  </si>
  <si>
    <t xml:space="preserve">Non Salary </t>
  </si>
  <si>
    <t>Offset</t>
  </si>
  <si>
    <t>Don't change the green rates in "C" or "P"</t>
  </si>
  <si>
    <t>L1 and 2 new business interest rate reduction</t>
  </si>
  <si>
    <t>COO - Taryn Pontifex</t>
  </si>
  <si>
    <t>As per construction contract</t>
  </si>
  <si>
    <t>Increase in O/O Everyday Fixed rate products</t>
  </si>
  <si>
    <t>Interest rate increase in new business for all fixed home loans. 0.25% increase in variable new business. Back-book for variable rate loans 0.25%</t>
  </si>
  <si>
    <t>Quarterly HEM update</t>
  </si>
  <si>
    <t>(Poverty Lines: Australia, September Quarter, 2025)</t>
  </si>
  <si>
    <t>All HEMs are expressed in December 2025 dollars; Data used is the 2015-16 Household Expenditure Survey (HES)</t>
  </si>
  <si>
    <t>Security Address</t>
  </si>
  <si>
    <t>Is FHOG required?</t>
  </si>
  <si>
    <t>Additional Notes</t>
  </si>
  <si>
    <t>Any RED highlighted fields need to be checked as this indicates insufficient funds or incomplete actions</t>
  </si>
  <si>
    <t>QLD, NSW, VIC only</t>
  </si>
  <si>
    <t>Approved Loan Funds</t>
  </si>
  <si>
    <t>Builder Name</t>
  </si>
  <si>
    <t>MOVE is an approved agent for loading FHOG applications for QLD, NSW and VIC jurisdictions only. Only utilise this if FHOG is required for funds to complete. Please select Yes or No and the applicable juriusdiction in the fields above.</t>
  </si>
  <si>
    <t>Fees incl. LMI</t>
  </si>
  <si>
    <t>Build Contract Price</t>
  </si>
  <si>
    <t>Construction Contract Price</t>
  </si>
  <si>
    <t>Refinance, Land Purchase or Equity Out Value</t>
  </si>
  <si>
    <t>Deposit Paid to Builder*</t>
  </si>
  <si>
    <t>Applicant Contribution Value (includes FHOG if applic.)</t>
  </si>
  <si>
    <t>FHOG</t>
  </si>
  <si>
    <t>Funds held with MOVE or OFI</t>
  </si>
  <si>
    <t>Loan Proceeds</t>
  </si>
  <si>
    <t>Verified Deposit Paid</t>
  </si>
  <si>
    <t>Verified Contribution Value</t>
  </si>
  <si>
    <t>Verified Savings</t>
  </si>
  <si>
    <t>Progress Draws</t>
  </si>
  <si>
    <t>% of Contract Price</t>
  </si>
  <si>
    <t>$ of Contract Price</t>
  </si>
  <si>
    <t>Applicant contribution</t>
  </si>
  <si>
    <t>Contribution remaining</t>
  </si>
  <si>
    <t>Loan drawdown value</t>
  </si>
  <si>
    <r>
      <rPr>
        <b/>
        <sz val="11"/>
        <color rgb="FF00B050"/>
        <rFont val="Calibri"/>
        <family val="2"/>
        <scheme val="minor"/>
      </rPr>
      <t>Surplus</t>
    </r>
    <r>
      <rPr>
        <b/>
        <sz val="11"/>
        <color rgb="FFFF0000"/>
        <rFont val="Calibri"/>
        <family val="2"/>
        <scheme val="minor"/>
      </rPr>
      <t>/Shortfall</t>
    </r>
  </si>
  <si>
    <t>* Deposit Paid - evidence of  deposit already paid</t>
  </si>
  <si>
    <t>Valuation &amp; Progress Payment Fees Checker</t>
  </si>
  <si>
    <t>Supporting Docs Required &amp; Held</t>
  </si>
  <si>
    <t>Instructions to complete - All coloured fields (pale blue &amp; gold) MUST be completed</t>
  </si>
  <si>
    <t>Completed</t>
  </si>
  <si>
    <t>Fees Calculation</t>
  </si>
  <si>
    <t>Please Select</t>
  </si>
  <si>
    <t>Executed fixed-price building contract</t>
  </si>
  <si>
    <t>1. Enter address of build location in field A2</t>
  </si>
  <si>
    <t>Loan Drawdowns ($50)</t>
  </si>
  <si>
    <t>Schedule of proposed finished &amp; specifications</t>
  </si>
  <si>
    <t>2. Complete Builder Name as per construction contract in field A4</t>
  </si>
  <si>
    <t>Progress Inspections (2)</t>
  </si>
  <si>
    <t>Draft plans with dimensions and measurements including site plan, floor plans and elevations</t>
  </si>
  <si>
    <t>3. Indicate if FHOG is required for funds to complete in field C1 - (note QLD, NSW or Vic only otherwise No)</t>
  </si>
  <si>
    <t>Please ensure you select Metro or Regional here to confirm correct calculation of fees</t>
  </si>
  <si>
    <t>4. Select applicable state for FHOG as required in field C2</t>
  </si>
  <si>
    <t>5. Select if applicant contribution funds are held with MOVE or OFI in field C8</t>
  </si>
  <si>
    <t>6. Enter full value of approved loan in field M2</t>
  </si>
  <si>
    <t>7. Enter value of all fees as per LO (incl. LMI if applicable) in field M3</t>
  </si>
  <si>
    <t>8. Enter full build value as per construction contract in field M4</t>
  </si>
  <si>
    <t>Valuation Type</t>
  </si>
  <si>
    <t>Threshold</t>
  </si>
  <si>
    <t>Metro</t>
  </si>
  <si>
    <t>Regional</t>
  </si>
  <si>
    <t>9. Enter full value of land purchase, any loans being refinanced and/or equity release in field M5 (anything not related to build and fees)</t>
  </si>
  <si>
    <t>Progress Inspection</t>
  </si>
  <si>
    <t>10. Enter value of verified deposit ALREADY paid to builder in field M6</t>
  </si>
  <si>
    <t>11. Enter value of verfied saving in field M7</t>
  </si>
  <si>
    <t>2025/2026 FHOG</t>
  </si>
  <si>
    <t>12. In fields A10 through A17 enter the progress draw stages as per build contract</t>
  </si>
  <si>
    <t>13. In fields B10 through B17 enter the percentage value (NUMBERS ONLY) of progess drawdowns as per build contract</t>
  </si>
  <si>
    <t>14. Data check - Total Contract Price $ in field D18 agrees with Contract Price $ in field A6</t>
  </si>
  <si>
    <t>15. Data check - Loan drawdown total in field I18 equals field E8</t>
  </si>
  <si>
    <t>16. Data check - Supporting docs checkboxes are completed - fields M20 - M22</t>
  </si>
  <si>
    <t>17. Data check - There is a current surplus evident in contribution value - Field M8 is equal to or greater than field I8</t>
  </si>
  <si>
    <t>Increase in new business Fixed and Variable home loan products</t>
  </si>
  <si>
    <t>Increase in new business and back book variable rate home loan products</t>
  </si>
  <si>
    <t>Increase in new business fixed rate loans</t>
  </si>
  <si>
    <t>CRM - Teri Hawkins</t>
  </si>
  <si>
    <t>increase variable rates + HEM data update</t>
  </si>
  <si>
    <t xml:space="preserve">Overtime/Commission </t>
  </si>
  <si>
    <t>Rent (non neg gear)</t>
  </si>
  <si>
    <t>Rental Income - Negative Geared</t>
  </si>
  <si>
    <t>decrease fixed rates</t>
  </si>
  <si>
    <t>Version 1 - 10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</si>
</sst>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quot;$&quot;#,##0"/>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0_);\(&quot;$&quot;#,##0\)"/>
    <numFmt numFmtId="165" formatCode="_(* #,##0.00_);_(* \(#,##0.00\);_(* &quot;-&quot;??_);_(@_)"/>
    <numFmt numFmtId="166" formatCode="&quot;$&quot;#,##0"/>
    <numFmt numFmtId="167" formatCode="dd/mm/yy_)"/>
    <numFmt numFmtId="168" formatCode="&quot;$&quot;#,##0.00"/>
    <numFmt numFmtId="169" formatCode="_-&quot;$&quot;* #,##0_-;\-&quot;$&quot;* #,##0_-;_-&quot;$&quot;* &quot;-&quot;??_-;_-@_-"/>
    <numFmt numFmtId="170" formatCode="[$$-C09]#,##0"/>
    <numFmt numFmtId="171" formatCode="0.0%"/>
    <numFmt numFmtId="172" formatCode="[$-C09]dd\-mmm\-yy;@"/>
    <numFmt numFmtId="173" formatCode="[$$-C09]#,##0;\-[$$-C09]#,##0"/>
    <numFmt numFmtId="174" formatCode="_(&quot;$&quot;* #,##0_);_(&quot;$&quot;* \(#,##0\);_(&quot;$&quot;* &quot;-&quot;??_);_(@_)"/>
    <numFmt numFmtId="175" formatCode="#,##0_ ;\-#,##0\ "/>
    <numFmt numFmtId="176" formatCode="#,##0.00000_ ;\-#,##0.00000\ "/>
    <numFmt numFmtId="177" formatCode="0.0"/>
    <numFmt numFmtId="178" formatCode="0.0000"/>
    <numFmt numFmtId="179" formatCode="_-* #,##0_-;\-* #,##0_-;_-* &quot;-&quot;??_-;_-@_-"/>
    <numFmt numFmtId="180" formatCode="&quot;$&quot;#,##0.00;[Red]&quot;$&quot;#,##0.00"/>
    <numFmt numFmtId="181" formatCode="_-[$$-C09]* #,##0.00_-;\-[$$-C09]* #,##0.00_-;_-[$$-C09]* &quot;-&quot;??_-;_-@_-"/>
    <numFmt numFmtId="182" formatCode="[$-C09]dd\-mmmm\-yyyy;@"/>
  </numFmts>
  <fonts count="1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b/>
      <sz val="9"/>
      <name val="helv"/>
    </font>
    <font>
      <sz val="9"/>
      <name val="helv"/>
    </font>
    <font>
      <b/>
      <sz val="9"/>
      <color indexed="8"/>
      <name val="helv"/>
    </font>
    <font>
      <sz val="9"/>
      <color indexed="8"/>
      <name val="helv"/>
    </font>
    <font>
      <sz val="9"/>
      <name val="Arial"/>
      <family val="2"/>
    </font>
    <font>
      <sz val="8"/>
      <name val="Arial"/>
      <family val="2"/>
    </font>
    <font>
      <sz val="10"/>
      <name val="Calibri"/>
      <family val="2"/>
      <scheme val="minor"/>
    </font>
    <font>
      <b/>
      <sz val="10"/>
      <name val="Calibri"/>
      <family val="2"/>
      <scheme val="minor"/>
    </font>
    <font>
      <b/>
      <sz val="9"/>
      <color rgb="FFFF0000"/>
      <name val="helv"/>
    </font>
    <font>
      <sz val="10"/>
      <color rgb="FF666666"/>
      <name val="Calibri"/>
      <family val="2"/>
      <scheme val="minor"/>
    </font>
    <font>
      <b/>
      <sz val="11"/>
      <color theme="1"/>
      <name val="Calibri"/>
      <family val="2"/>
      <scheme val="minor"/>
    </font>
    <font>
      <b/>
      <sz val="22"/>
      <color theme="1"/>
      <name val="Calibri"/>
      <family val="2"/>
      <scheme val="minor"/>
    </font>
    <font>
      <b/>
      <sz val="10"/>
      <name val="Arial"/>
      <family val="2"/>
    </font>
    <font>
      <sz val="10"/>
      <color rgb="FFFF0000"/>
      <name val="Arial"/>
      <family val="2"/>
    </font>
    <font>
      <b/>
      <sz val="11"/>
      <name val="Times New Roman"/>
      <family val="1"/>
    </font>
    <font>
      <b/>
      <sz val="11"/>
      <color rgb="FF000000"/>
      <name val="Times New Roman"/>
      <family val="1"/>
    </font>
    <font>
      <sz val="11"/>
      <color rgb="FF000000"/>
      <name val="Times New Roman"/>
      <family val="1"/>
    </font>
    <font>
      <sz val="16"/>
      <name val="Arial"/>
      <family val="2"/>
    </font>
    <font>
      <b/>
      <sz val="8"/>
      <name val="Arial"/>
      <family val="2"/>
    </font>
    <font>
      <b/>
      <vertAlign val="superscript"/>
      <sz val="11"/>
      <name val="Times New Roman"/>
      <family val="1"/>
    </font>
    <font>
      <vertAlign val="superscript"/>
      <sz val="11"/>
      <color rgb="FF000000"/>
      <name val="Times New Roman"/>
      <family val="1"/>
    </font>
    <font>
      <i/>
      <sz val="11"/>
      <color rgb="FF000000"/>
      <name val="Times New Roman"/>
      <family val="1"/>
    </font>
    <font>
      <sz val="11"/>
      <name val="Times New Roman"/>
      <family val="1"/>
    </font>
    <font>
      <sz val="11"/>
      <color rgb="FF0000FF"/>
      <name val="Times New Roman"/>
      <family val="1"/>
    </font>
    <font>
      <b/>
      <sz val="10"/>
      <color theme="0"/>
      <name val="Helv"/>
    </font>
    <font>
      <sz val="10"/>
      <color theme="0"/>
      <name val="Arial"/>
      <family val="2"/>
    </font>
    <font>
      <sz val="9"/>
      <color indexed="81"/>
      <name val="Tahoma"/>
      <family val="2"/>
    </font>
    <font>
      <b/>
      <sz val="9"/>
      <color indexed="81"/>
      <name val="Tahoma"/>
      <family val="2"/>
    </font>
    <font>
      <sz val="9"/>
      <color rgb="FF666666"/>
      <name val="Arial"/>
      <family val="2"/>
    </font>
    <font>
      <sz val="10"/>
      <color rgb="FF666666"/>
      <name val="Arial"/>
      <family val="2"/>
    </font>
    <font>
      <sz val="13"/>
      <color rgb="FF002341"/>
      <name val="Arial"/>
      <family val="2"/>
    </font>
    <font>
      <sz val="10"/>
      <color rgb="FF000000"/>
      <name val="Calibri"/>
      <family val="2"/>
      <scheme val="minor"/>
    </font>
    <font>
      <b/>
      <sz val="10"/>
      <color rgb="FF000000"/>
      <name val="Calibri"/>
      <family val="2"/>
      <scheme val="minor"/>
    </font>
    <font>
      <b/>
      <sz val="11"/>
      <color theme="0"/>
      <name val="Calibri"/>
      <family val="2"/>
      <scheme val="minor"/>
    </font>
    <font>
      <sz val="11"/>
      <color theme="0"/>
      <name val="Calibri"/>
      <family val="2"/>
      <scheme val="minor"/>
    </font>
    <font>
      <b/>
      <sz val="9"/>
      <name val="Calibri"/>
      <family val="2"/>
      <scheme val="minor"/>
    </font>
    <font>
      <sz val="9"/>
      <name val="Calibri"/>
      <family val="2"/>
      <scheme val="minor"/>
    </font>
    <font>
      <i/>
      <sz val="10"/>
      <name val="Calibri"/>
      <family val="2"/>
      <scheme val="minor"/>
    </font>
    <font>
      <sz val="11"/>
      <name val="Calibri"/>
      <family val="2"/>
      <scheme val="minor"/>
    </font>
    <font>
      <b/>
      <sz val="9"/>
      <color theme="0"/>
      <name val="helv"/>
    </font>
    <font>
      <sz val="10"/>
      <color theme="0"/>
      <name val="Calibri"/>
      <family val="2"/>
      <scheme val="minor"/>
    </font>
    <font>
      <b/>
      <sz val="14"/>
      <color rgb="FF000000"/>
      <name val="Calibri"/>
      <family val="2"/>
      <scheme val="minor"/>
    </font>
    <font>
      <b/>
      <sz val="16"/>
      <color theme="0"/>
      <name val="Calibri"/>
      <family val="2"/>
      <scheme val="minor"/>
    </font>
    <font>
      <sz val="10"/>
      <color rgb="FF002341"/>
      <name val="Arial"/>
      <family val="2"/>
    </font>
    <font>
      <sz val="9"/>
      <color theme="0"/>
      <name val="helv"/>
    </font>
    <font>
      <sz val="9"/>
      <color indexed="9"/>
      <name val="Calibri"/>
      <family val="2"/>
      <scheme val="minor"/>
    </font>
    <font>
      <sz val="9"/>
      <color indexed="8"/>
      <name val="Calibri"/>
      <family val="2"/>
      <scheme val="minor"/>
    </font>
    <font>
      <sz val="9"/>
      <color indexed="9"/>
      <name val="Helv"/>
    </font>
    <font>
      <b/>
      <sz val="9"/>
      <color indexed="10"/>
      <name val="helv"/>
    </font>
    <font>
      <b/>
      <sz val="9"/>
      <color indexed="10"/>
      <name val="Calibri"/>
      <family val="2"/>
      <scheme val="minor"/>
    </font>
    <font>
      <sz val="9"/>
      <color indexed="10"/>
      <name val="Calibri"/>
      <family val="2"/>
      <scheme val="minor"/>
    </font>
    <font>
      <i/>
      <u/>
      <sz val="9"/>
      <name val="Calibri"/>
      <family val="2"/>
      <scheme val="minor"/>
    </font>
    <font>
      <i/>
      <sz val="9"/>
      <name val="Calibri"/>
      <family val="2"/>
      <scheme val="minor"/>
    </font>
    <font>
      <i/>
      <sz val="9"/>
      <color indexed="55"/>
      <name val="helv"/>
    </font>
    <font>
      <b/>
      <sz val="9"/>
      <name val="Arial"/>
      <family val="2"/>
    </font>
    <font>
      <sz val="9"/>
      <color theme="0"/>
      <name val="Calibri"/>
      <family val="2"/>
      <scheme val="minor"/>
    </font>
    <font>
      <u/>
      <sz val="10"/>
      <color theme="10"/>
      <name val="Arial"/>
      <family val="2"/>
    </font>
    <font>
      <b/>
      <sz val="1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sz val="11"/>
      <color rgb="FF9C6500"/>
      <name val="Calibri"/>
      <family val="2"/>
      <scheme val="minor"/>
    </font>
    <font>
      <b/>
      <sz val="10"/>
      <color rgb="FF075877"/>
      <name val="Helv"/>
    </font>
    <font>
      <sz val="9"/>
      <color rgb="FF075877"/>
      <name val="Helv"/>
    </font>
    <font>
      <b/>
      <sz val="9"/>
      <color rgb="FF075877"/>
      <name val="Helv"/>
    </font>
    <font>
      <b/>
      <sz val="7"/>
      <name val="helv"/>
    </font>
    <font>
      <u/>
      <sz val="10"/>
      <color theme="11"/>
      <name val="Arial"/>
      <family val="2"/>
    </font>
    <font>
      <sz val="9"/>
      <color theme="1"/>
      <name val="Helv"/>
    </font>
    <font>
      <b/>
      <sz val="9"/>
      <color rgb="FFFFFFFF"/>
      <name val="Helv"/>
    </font>
    <font>
      <b/>
      <sz val="9"/>
      <color theme="1"/>
      <name val="Helv"/>
    </font>
    <font>
      <u/>
      <sz val="9"/>
      <color theme="11"/>
      <name val="Helv"/>
    </font>
    <font>
      <i/>
      <sz val="9"/>
      <color theme="1"/>
      <name val="Helv"/>
    </font>
    <font>
      <sz val="9"/>
      <color rgb="FFFF0000"/>
      <name val="Helv"/>
    </font>
    <font>
      <u/>
      <sz val="9"/>
      <color theme="10"/>
      <name val="Helv"/>
    </font>
    <font>
      <b/>
      <sz val="8"/>
      <name val="helv"/>
    </font>
    <font>
      <sz val="6"/>
      <name val="helv"/>
    </font>
    <font>
      <sz val="8"/>
      <name val="Arial"/>
      <family val="2"/>
    </font>
    <font>
      <i/>
      <sz val="10"/>
      <name val="Arial"/>
      <family val="2"/>
    </font>
    <font>
      <sz val="9"/>
      <color indexed="81"/>
      <name val="Calibri"/>
      <family val="2"/>
      <scheme val="minor"/>
    </font>
    <font>
      <b/>
      <sz val="9"/>
      <color indexed="81"/>
      <name val="Calibri"/>
      <family val="2"/>
      <scheme val="minor"/>
    </font>
    <font>
      <b/>
      <sz val="10"/>
      <color indexed="81"/>
      <name val="Calibri"/>
      <family val="2"/>
      <scheme val="minor"/>
    </font>
    <font>
      <b/>
      <sz val="12"/>
      <name val="Calibri"/>
      <family val="2"/>
      <scheme val="minor"/>
    </font>
    <font>
      <sz val="12"/>
      <name val="Calibri"/>
      <family val="2"/>
      <scheme val="minor"/>
    </font>
    <font>
      <i/>
      <sz val="12"/>
      <name val="Calibri"/>
      <family val="2"/>
      <scheme val="minor"/>
    </font>
    <font>
      <b/>
      <sz val="14"/>
      <name val="Calibri"/>
      <family val="2"/>
      <scheme val="minor"/>
    </font>
    <font>
      <sz val="10"/>
      <color theme="1"/>
      <name val="Calibri"/>
      <family val="2"/>
      <scheme val="minor"/>
    </font>
    <font>
      <i/>
      <sz val="11"/>
      <name val="Times New Roman"/>
      <family val="1"/>
    </font>
    <font>
      <sz val="9"/>
      <color rgb="FF006100"/>
      <name val="Calibri"/>
      <family val="2"/>
      <scheme val="minor"/>
    </font>
    <font>
      <b/>
      <i/>
      <sz val="8"/>
      <color theme="1"/>
      <name val="Calibri"/>
      <family val="2"/>
      <scheme val="minor"/>
    </font>
    <font>
      <sz val="18"/>
      <color rgb="FFFF0000"/>
      <name val="Calibri"/>
      <family val="2"/>
      <scheme val="minor"/>
    </font>
    <font>
      <b/>
      <sz val="11"/>
      <color theme="8" tint="-0.249977111117893"/>
      <name val="Calibri"/>
      <family val="2"/>
      <scheme val="minor"/>
    </font>
    <font>
      <sz val="8"/>
      <color theme="1"/>
      <name val="Calibri"/>
      <family val="2"/>
      <scheme val="minor"/>
    </font>
    <font>
      <sz val="11"/>
      <color theme="8" tint="-0.249977111117893"/>
      <name val="Calibri"/>
      <family val="2"/>
      <scheme val="minor"/>
    </font>
    <font>
      <b/>
      <i/>
      <sz val="11"/>
      <color theme="1"/>
      <name val="Calibri"/>
      <family val="2"/>
      <scheme val="minor"/>
    </font>
    <font>
      <u/>
      <sz val="11"/>
      <color theme="8" tint="-0.249977111117893"/>
      <name val="Calibri"/>
      <family val="2"/>
      <scheme val="minor"/>
    </font>
    <font>
      <b/>
      <sz val="16"/>
      <color rgb="FFFFFFFF"/>
      <name val="Calibri"/>
      <family val="2"/>
      <scheme val="minor"/>
    </font>
    <font>
      <sz val="16"/>
      <color rgb="FF000000"/>
      <name val="Calibri"/>
      <family val="2"/>
      <scheme val="minor"/>
    </font>
    <font>
      <u/>
      <sz val="22"/>
      <color theme="3" tint="-0.249977111117893"/>
      <name val="Arial"/>
      <family val="2"/>
    </font>
    <font>
      <sz val="22"/>
      <color theme="3" tint="-0.249977111117893"/>
      <name val="Calibri"/>
      <family val="2"/>
      <scheme val="minor"/>
    </font>
    <font>
      <sz val="10"/>
      <color theme="3" tint="-0.249977111117893"/>
      <name val="Calibri"/>
      <family val="2"/>
      <scheme val="minor"/>
    </font>
    <font>
      <sz val="11"/>
      <color rgb="FF9C5700"/>
      <name val="Calibri"/>
      <family val="2"/>
      <scheme val="minor"/>
    </font>
    <font>
      <b/>
      <sz val="11"/>
      <color rgb="FFFF0000"/>
      <name val="Calibri"/>
      <family val="2"/>
      <scheme val="minor"/>
    </font>
    <font>
      <sz val="11"/>
      <color theme="3" tint="0.249977111117893"/>
      <name val="Calibri"/>
      <family val="2"/>
      <scheme val="minor"/>
    </font>
    <font>
      <b/>
      <sz val="10"/>
      <color theme="1"/>
      <name val="Calibri"/>
      <family val="2"/>
      <scheme val="minor"/>
    </font>
    <font>
      <b/>
      <sz val="11"/>
      <color rgb="FF00B050"/>
      <name val="Calibri"/>
      <family val="2"/>
      <scheme val="minor"/>
    </font>
    <font>
      <u/>
      <sz val="11"/>
      <color theme="10"/>
      <name val="Calibri"/>
      <family val="2"/>
      <scheme val="minor"/>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075877"/>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075877"/>
        <bgColor rgb="FF000000"/>
      </patternFill>
    </fill>
    <fill>
      <patternFill patternType="solid">
        <fgColor rgb="FFFFFF00"/>
        <bgColor indexed="64"/>
      </patternFill>
    </fill>
    <fill>
      <patternFill patternType="solid">
        <fgColor theme="6" tint="0.59999389629810485"/>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92D050"/>
        <bgColor indexed="64"/>
      </patternFill>
    </fill>
    <fill>
      <patternFill patternType="solid">
        <fgColor theme="6" tint="0.79998168889431442"/>
        <bgColor indexed="64"/>
      </patternFill>
    </fill>
    <fill>
      <patternFill patternType="solid">
        <fgColor rgb="FFCCFFFF"/>
        <bgColor indexed="6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6" tint="0.79995117038483843"/>
        <bgColor indexed="65"/>
      </patternFill>
    </fill>
    <fill>
      <patternFill patternType="solid">
        <fgColor theme="6" tint="0.59996337778862885"/>
        <bgColor indexed="65"/>
      </patternFill>
    </fill>
    <fill>
      <patternFill patternType="solid">
        <fgColor theme="7" tint="0.79995117038483843"/>
        <bgColor indexed="65"/>
      </patternFill>
    </fill>
    <fill>
      <patternFill patternType="solid">
        <fgColor theme="7" tint="0.59996337778862885"/>
        <bgColor indexed="65"/>
      </patternFill>
    </fill>
    <fill>
      <patternFill patternType="solid">
        <fgColor theme="8" tint="0.79995117038483843"/>
        <bgColor indexed="65"/>
      </patternFill>
    </fill>
    <fill>
      <patternFill patternType="solid">
        <fgColor theme="8" tint="0.59996337778862885"/>
        <bgColor indexed="65"/>
      </patternFill>
    </fill>
    <fill>
      <patternFill patternType="solid">
        <fgColor theme="9" tint="0.79995117038483843"/>
        <bgColor indexed="65"/>
      </patternFill>
    </fill>
    <fill>
      <patternFill patternType="solid">
        <fgColor theme="9" tint="0.59996337778862885"/>
        <bgColor indexed="65"/>
      </patternFill>
    </fill>
    <fill>
      <patternFill patternType="solid">
        <fgColor theme="8" tint="0.59999389629810485"/>
        <bgColor indexed="64"/>
      </patternFill>
    </fill>
    <fill>
      <patternFill patternType="solid">
        <fgColor theme="4" tint="0.59999389629810485"/>
        <bgColor indexed="64"/>
      </patternFill>
    </fill>
    <fill>
      <patternFill patternType="solid">
        <fgColor theme="3" tint="0.89999084444715716"/>
        <bgColor indexed="64"/>
      </patternFill>
    </fill>
  </fills>
  <borders count="80">
    <border>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top style="thin">
        <color theme="0"/>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right style="thin">
        <color indexed="64"/>
      </right>
      <top/>
      <bottom/>
      <diagonal/>
    </border>
    <border>
      <left/>
      <right/>
      <top/>
      <bottom style="thick">
        <color theme="4" tint="0.4999542222357860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s>
  <cellStyleXfs count="9170">
    <xf numFmtId="0" fontId="0" fillId="0" borderId="0"/>
    <xf numFmtId="43" fontId="15" fillId="0" borderId="0" applyFont="0" applyFill="0" applyBorder="0" applyAlignment="0" applyProtection="0"/>
    <xf numFmtId="165" fontId="15" fillId="0" borderId="0" applyFont="0" applyFill="0" applyBorder="0" applyAlignment="0" applyProtection="0"/>
    <xf numFmtId="44" fontId="15" fillId="0" borderId="0" applyFont="0" applyFill="0" applyBorder="0" applyAlignment="0" applyProtection="0"/>
    <xf numFmtId="0" fontId="15" fillId="0" borderId="0"/>
    <xf numFmtId="0" fontId="16" fillId="0" borderId="0"/>
    <xf numFmtId="9" fontId="15" fillId="0" borderId="0" applyFont="0" applyFill="0" applyBorder="0" applyAlignment="0" applyProtection="0"/>
    <xf numFmtId="0" fontId="73" fillId="0" borderId="0" applyNumberFormat="0" applyFill="0" applyBorder="0" applyAlignment="0" applyProtection="0"/>
    <xf numFmtId="0" fontId="75" fillId="0" borderId="56" applyNumberFormat="0" applyFill="0" applyAlignment="0" applyProtection="0"/>
    <xf numFmtId="0" fontId="76" fillId="0" borderId="57" applyNumberFormat="0" applyFill="0" applyAlignment="0" applyProtection="0"/>
    <xf numFmtId="0" fontId="77" fillId="0" borderId="58" applyNumberFormat="0" applyFill="0" applyAlignment="0" applyProtection="0"/>
    <xf numFmtId="0" fontId="77" fillId="0" borderId="0" applyNumberFormat="0" applyFill="0" applyBorder="0" applyAlignment="0" applyProtection="0"/>
    <xf numFmtId="0" fontId="78" fillId="8" borderId="0" applyNumberFormat="0" applyBorder="0" applyAlignment="0" applyProtection="0"/>
    <xf numFmtId="0" fontId="79" fillId="9" borderId="0" applyNumberFormat="0" applyBorder="0" applyAlignment="0" applyProtection="0"/>
    <xf numFmtId="0" fontId="80" fillId="11" borderId="59" applyNumberFormat="0" applyAlignment="0" applyProtection="0"/>
    <xf numFmtId="0" fontId="81" fillId="12" borderId="60" applyNumberFormat="0" applyAlignment="0" applyProtection="0"/>
    <xf numFmtId="0" fontId="82" fillId="12" borderId="59" applyNumberFormat="0" applyAlignment="0" applyProtection="0"/>
    <xf numFmtId="0" fontId="83" fillId="0" borderId="61" applyNumberFormat="0" applyFill="0" applyAlignment="0" applyProtection="0"/>
    <xf numFmtId="0" fontId="50" fillId="13" borderId="62" applyNumberFormat="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27" fillId="0" borderId="64" applyNumberFormat="0" applyFill="0" applyAlignment="0" applyProtection="0"/>
    <xf numFmtId="0" fontId="51"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51"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51"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51"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51"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51"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44" fontId="15" fillId="0" borderId="0" applyFont="0" applyFill="0" applyBorder="0" applyAlignment="0" applyProtection="0"/>
    <xf numFmtId="0" fontId="86" fillId="0" borderId="0" applyNumberFormat="0" applyFill="0" applyBorder="0" applyAlignment="0" applyProtection="0"/>
    <xf numFmtId="0" fontId="87" fillId="10"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38" borderId="0" applyNumberFormat="0" applyBorder="0" applyAlignment="0" applyProtection="0"/>
    <xf numFmtId="0" fontId="15" fillId="0" borderId="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44" fontId="15" fillId="0" borderId="0" applyFont="0" applyFill="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44" fontId="15" fillId="0" borderId="0" applyFont="0" applyFill="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44" fontId="15" fillId="0" borderId="0" applyFont="0" applyFill="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44" fontId="15" fillId="0" borderId="0" applyFont="0" applyFill="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14" borderId="63" applyNumberFormat="0" applyFont="0" applyAlignment="0" applyProtection="0"/>
    <xf numFmtId="0" fontId="14" fillId="16" borderId="0" applyNumberFormat="0" applyBorder="0" applyAlignment="0" applyProtection="0"/>
    <xf numFmtId="0" fontId="14" fillId="17"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43" fontId="15" fillId="0" borderId="0" applyFont="0" applyFill="0" applyBorder="0" applyAlignment="0" applyProtection="0"/>
    <xf numFmtId="44" fontId="15" fillId="0" borderId="0" applyFont="0" applyFill="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44" fontId="15" fillId="0" borderId="0" applyFont="0" applyFill="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44" fontId="15" fillId="0" borderId="0" applyFont="0" applyFill="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44" fontId="15" fillId="0" borderId="0" applyFont="0" applyFill="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44" fontId="15" fillId="0" borderId="0" applyFont="0" applyFill="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44" fontId="15" fillId="0" borderId="0" applyFont="0" applyFill="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14" borderId="63" applyNumberFormat="0" applyFont="0" applyAlignment="0" applyProtection="0"/>
    <xf numFmtId="0" fontId="13" fillId="16" borderId="0" applyNumberFormat="0" applyBorder="0" applyAlignment="0" applyProtection="0"/>
    <xf numFmtId="0" fontId="13" fillId="17"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44" fontId="15" fillId="0" borderId="0" applyFont="0" applyFill="0" applyBorder="0" applyAlignment="0" applyProtection="0"/>
    <xf numFmtId="0" fontId="92" fillId="0" borderId="0" applyNumberFormat="0" applyFill="0" applyBorder="0" applyAlignment="0" applyProtection="0"/>
    <xf numFmtId="44" fontId="15" fillId="0" borderId="0" applyFont="0" applyFill="0" applyBorder="0" applyAlignment="0" applyProtection="0"/>
    <xf numFmtId="0" fontId="12" fillId="24" borderId="0" applyNumberFormat="0" applyBorder="0" applyAlignment="0" applyProtection="0"/>
    <xf numFmtId="44" fontId="15" fillId="0" borderId="0" applyFont="0" applyFill="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44" fontId="15" fillId="0" borderId="0" applyFont="0" applyFill="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44" fontId="15" fillId="0" borderId="0" applyFont="0" applyFill="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44" fontId="15" fillId="0" borderId="0" applyFont="0" applyFill="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44" fontId="15" fillId="0" borderId="0" applyFont="0" applyFill="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14" borderId="63" applyNumberFormat="0" applyFont="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44" fontId="15" fillId="0" borderId="0" applyFont="0" applyFill="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44" fontId="15" fillId="0" borderId="0" applyFont="0" applyFill="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44" fontId="15" fillId="0" borderId="0" applyFont="0" applyFill="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44" fontId="15" fillId="0" borderId="0" applyFont="0" applyFill="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44" fontId="15" fillId="0" borderId="0" applyFont="0" applyFill="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14" borderId="63" applyNumberFormat="0" applyFont="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44" fontId="15" fillId="0" borderId="0" applyFont="0" applyFill="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44" fontId="15" fillId="0" borderId="0" applyFont="0" applyFill="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44" fontId="15" fillId="0" borderId="0" applyFont="0" applyFill="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44" fontId="15" fillId="0" borderId="0" applyFont="0" applyFill="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44" fontId="15" fillId="0" borderId="0" applyFont="0" applyFill="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14" borderId="63" applyNumberFormat="0" applyFont="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8" fillId="0" borderId="0"/>
    <xf numFmtId="0" fontId="8" fillId="14" borderId="63" applyNumberFormat="0" applyFont="0" applyAlignment="0" applyProtection="0"/>
    <xf numFmtId="0" fontId="8" fillId="0" borderId="0"/>
    <xf numFmtId="0" fontId="8" fillId="14" borderId="63" applyNumberFormat="0" applyFont="0" applyAlignment="0" applyProtection="0"/>
    <xf numFmtId="43" fontId="15" fillId="0" borderId="0" applyFont="0" applyFill="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3" fontId="15" fillId="0" borderId="0" applyFont="0" applyFill="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7" fillId="24"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44" fontId="15" fillId="0" borderId="0" applyFont="0" applyFill="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14" borderId="63" applyNumberFormat="0" applyFont="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14" borderId="63"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14" borderId="63" applyNumberFormat="0" applyFont="0" applyAlignment="0" applyProtection="0"/>
    <xf numFmtId="44" fontId="15" fillId="0" borderId="0" applyFont="0" applyFill="0" applyBorder="0" applyAlignment="0" applyProtection="0"/>
    <xf numFmtId="0" fontId="76" fillId="0" borderId="73" applyNumberFormat="0" applyFill="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44" fontId="15" fillId="0" borderId="0" applyFont="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44" fontId="15" fillId="0" borderId="0" applyFont="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44" fontId="15" fillId="0" borderId="0" applyFont="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44" fontId="15" fillId="0" borderId="0" applyFont="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14" borderId="63" applyNumberFormat="0" applyFont="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44" fontId="15" fillId="0" borderId="0" applyFont="0" applyFill="0" applyBorder="0" applyAlignment="0" applyProtection="0"/>
    <xf numFmtId="0" fontId="126" fillId="10" borderId="0" applyNumberFormat="0" applyBorder="0" applyAlignment="0" applyProtection="0"/>
    <xf numFmtId="0" fontId="6" fillId="0" borderId="0"/>
    <xf numFmtId="44" fontId="6" fillId="0" borderId="0" applyFont="0" applyFill="0" applyBorder="0" applyAlignment="0" applyProtection="0"/>
    <xf numFmtId="0" fontId="131" fillId="0" borderId="0" applyNumberFormat="0" applyFill="0" applyBorder="0" applyAlignment="0" applyProtection="0"/>
    <xf numFmtId="9" fontId="6" fillId="0" borderId="0" applyFont="0" applyFill="0" applyBorder="0" applyAlignment="0" applyProtection="0"/>
    <xf numFmtId="0" fontId="6"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15" fillId="0" borderId="0" applyFont="0" applyFill="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44" fontId="15" fillId="0" borderId="0" applyFont="0" applyFill="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44" fontId="15" fillId="0" borderId="0" applyFont="0" applyFill="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44" fontId="15" fillId="0" borderId="0" applyFont="0" applyFill="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44" fontId="15" fillId="0" borderId="0" applyFont="0" applyFill="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14" borderId="63" applyNumberFormat="0" applyFont="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44" fontId="15" fillId="0" borderId="0" applyFont="0" applyFill="0" applyBorder="0" applyAlignment="0" applyProtection="0"/>
  </cellStyleXfs>
  <cellXfs count="1070">
    <xf numFmtId="0" fontId="0" fillId="0" borderId="0" xfId="0"/>
    <xf numFmtId="9" fontId="20" fillId="2" borderId="6" xfId="6" applyFont="1" applyFill="1" applyBorder="1" applyAlignment="1" applyProtection="1">
      <alignment horizontal="center"/>
      <protection hidden="1"/>
    </xf>
    <xf numFmtId="170" fontId="17" fillId="0" borderId="7" xfId="4" applyNumberFormat="1" applyFont="1" applyBorder="1" applyAlignment="1" applyProtection="1">
      <alignment horizontal="center"/>
      <protection hidden="1"/>
    </xf>
    <xf numFmtId="0" fontId="18" fillId="0" borderId="8" xfId="4" applyFont="1" applyBorder="1" applyAlignment="1" applyProtection="1">
      <alignment horizontal="left"/>
      <protection hidden="1"/>
    </xf>
    <xf numFmtId="0" fontId="17" fillId="0" borderId="6" xfId="4" applyFont="1" applyBorder="1" applyAlignment="1" applyProtection="1">
      <alignment horizontal="center"/>
      <protection hidden="1"/>
    </xf>
    <xf numFmtId="170" fontId="19" fillId="0" borderId="6" xfId="3" applyNumberFormat="1" applyFont="1" applyBorder="1" applyAlignment="1" applyProtection="1">
      <alignment horizontal="center"/>
      <protection hidden="1"/>
    </xf>
    <xf numFmtId="170" fontId="20" fillId="0" borderId="6" xfId="3" applyNumberFormat="1" applyFont="1" applyBorder="1" applyAlignment="1" applyProtection="1">
      <alignment horizontal="center"/>
      <protection hidden="1"/>
    </xf>
    <xf numFmtId="9" fontId="18" fillId="0" borderId="6" xfId="6" applyFont="1" applyBorder="1" applyAlignment="1" applyProtection="1">
      <alignment horizontal="center"/>
      <protection hidden="1"/>
    </xf>
    <xf numFmtId="0" fontId="18" fillId="0" borderId="9" xfId="4" applyFont="1" applyBorder="1" applyAlignment="1" applyProtection="1">
      <alignment horizontal="left"/>
      <protection hidden="1"/>
    </xf>
    <xf numFmtId="0" fontId="17" fillId="0" borderId="13" xfId="4" applyFont="1" applyBorder="1" applyAlignment="1" applyProtection="1">
      <alignment horizontal="center" vertical="center" wrapText="1"/>
      <protection hidden="1"/>
    </xf>
    <xf numFmtId="0" fontId="18" fillId="0" borderId="13" xfId="4" applyFont="1" applyBorder="1" applyProtection="1">
      <protection hidden="1"/>
    </xf>
    <xf numFmtId="0" fontId="18" fillId="0" borderId="13" xfId="4" applyFont="1" applyBorder="1" applyAlignment="1" applyProtection="1">
      <alignment horizontal="left"/>
      <protection hidden="1"/>
    </xf>
    <xf numFmtId="0" fontId="18" fillId="0" borderId="1" xfId="4" applyFont="1" applyBorder="1" applyAlignment="1" applyProtection="1">
      <alignment horizontal="left"/>
      <protection hidden="1"/>
    </xf>
    <xf numFmtId="170" fontId="17" fillId="0" borderId="6" xfId="4" applyNumberFormat="1" applyFont="1" applyBorder="1" applyAlignment="1" applyProtection="1">
      <alignment horizontal="center"/>
      <protection hidden="1"/>
    </xf>
    <xf numFmtId="170" fontId="17" fillId="0" borderId="6" xfId="4" quotePrefix="1" applyNumberFormat="1" applyFont="1" applyBorder="1" applyAlignment="1" applyProtection="1">
      <alignment horizontal="center"/>
      <protection hidden="1"/>
    </xf>
    <xf numFmtId="170" fontId="17" fillId="0" borderId="6" xfId="3" applyNumberFormat="1" applyFont="1" applyBorder="1" applyAlignment="1" applyProtection="1">
      <alignment horizontal="center"/>
      <protection hidden="1"/>
    </xf>
    <xf numFmtId="0" fontId="18" fillId="0" borderId="24" xfId="4" applyFont="1" applyBorder="1" applyProtection="1">
      <protection hidden="1"/>
    </xf>
    <xf numFmtId="170" fontId="17" fillId="0" borderId="14" xfId="3" applyNumberFormat="1" applyFont="1" applyBorder="1" applyAlignment="1" applyProtection="1">
      <alignment horizontal="center"/>
      <protection hidden="1"/>
    </xf>
    <xf numFmtId="0" fontId="23" fillId="0" borderId="0" xfId="4" applyFont="1" applyAlignment="1" applyProtection="1">
      <alignment horizontal="left"/>
      <protection hidden="1"/>
    </xf>
    <xf numFmtId="0" fontId="23" fillId="0" borderId="0" xfId="4" applyFont="1" applyProtection="1">
      <protection hidden="1"/>
    </xf>
    <xf numFmtId="0" fontId="24" fillId="0" borderId="0" xfId="4" applyFont="1" applyAlignment="1" applyProtection="1">
      <alignment horizontal="left"/>
      <protection hidden="1"/>
    </xf>
    <xf numFmtId="0" fontId="23" fillId="0" borderId="0" xfId="5" applyFont="1" applyAlignment="1" applyProtection="1">
      <alignment horizontal="left"/>
      <protection hidden="1"/>
    </xf>
    <xf numFmtId="0" fontId="23" fillId="0" borderId="0" xfId="5" applyFont="1" applyProtection="1">
      <protection hidden="1"/>
    </xf>
    <xf numFmtId="0" fontId="24" fillId="0" borderId="0" xfId="5" applyFont="1" applyAlignment="1" applyProtection="1">
      <alignment horizontal="left"/>
      <protection hidden="1"/>
    </xf>
    <xf numFmtId="9" fontId="23" fillId="0" borderId="0" xfId="4" applyNumberFormat="1" applyFont="1" applyProtection="1">
      <protection hidden="1"/>
    </xf>
    <xf numFmtId="49" fontId="23" fillId="0" borderId="0" xfId="4" applyNumberFormat="1" applyFont="1" applyAlignment="1" applyProtection="1">
      <alignment horizontal="left"/>
      <protection hidden="1"/>
    </xf>
    <xf numFmtId="0" fontId="24" fillId="0" borderId="0" xfId="4" applyFont="1" applyAlignment="1" applyProtection="1">
      <alignment horizontal="center"/>
      <protection hidden="1"/>
    </xf>
    <xf numFmtId="0" fontId="24" fillId="0" borderId="0" xfId="4" applyFont="1" applyProtection="1">
      <protection hidden="1"/>
    </xf>
    <xf numFmtId="44" fontId="23" fillId="0" borderId="0" xfId="3" applyFont="1" applyAlignment="1" applyProtection="1">
      <alignment horizontal="left"/>
      <protection hidden="1"/>
    </xf>
    <xf numFmtId="44" fontId="24" fillId="0" borderId="0" xfId="3" applyFont="1" applyAlignment="1" applyProtection="1">
      <alignment horizontal="left"/>
      <protection hidden="1"/>
    </xf>
    <xf numFmtId="9" fontId="23" fillId="0" borderId="0" xfId="4" applyNumberFormat="1" applyFont="1" applyAlignment="1" applyProtection="1">
      <alignment horizontal="center"/>
      <protection hidden="1"/>
    </xf>
    <xf numFmtId="169" fontId="23" fillId="0" borderId="0" xfId="4" applyNumberFormat="1" applyFont="1" applyProtection="1">
      <protection hidden="1"/>
    </xf>
    <xf numFmtId="10" fontId="23" fillId="0" borderId="0" xfId="6" applyNumberFormat="1" applyFont="1" applyProtection="1">
      <protection hidden="1"/>
    </xf>
    <xf numFmtId="173" fontId="25" fillId="0" borderId="0" xfId="3" applyNumberFormat="1" applyFont="1" applyProtection="1">
      <protection hidden="1"/>
    </xf>
    <xf numFmtId="0" fontId="24" fillId="0" borderId="0" xfId="0" applyFont="1" applyAlignment="1" applyProtection="1">
      <alignment horizontal="left"/>
      <protection hidden="1"/>
    </xf>
    <xf numFmtId="0" fontId="23" fillId="0" borderId="0" xfId="0" applyFont="1" applyProtection="1">
      <protection hidden="1"/>
    </xf>
    <xf numFmtId="10" fontId="23" fillId="0" borderId="0" xfId="0" applyNumberFormat="1" applyFont="1" applyProtection="1">
      <protection hidden="1"/>
    </xf>
    <xf numFmtId="0" fontId="23" fillId="0" borderId="0" xfId="0" applyFont="1" applyAlignment="1" applyProtection="1">
      <alignment horizontal="left"/>
      <protection hidden="1"/>
    </xf>
    <xf numFmtId="169" fontId="23" fillId="0" borderId="0" xfId="3" applyNumberFormat="1" applyFont="1" applyProtection="1">
      <protection hidden="1"/>
    </xf>
    <xf numFmtId="169" fontId="23" fillId="0" borderId="0" xfId="0" applyNumberFormat="1" applyFont="1" applyProtection="1">
      <protection hidden="1"/>
    </xf>
    <xf numFmtId="0" fontId="18" fillId="0" borderId="8" xfId="4" applyFont="1" applyBorder="1" applyProtection="1">
      <protection hidden="1"/>
    </xf>
    <xf numFmtId="0" fontId="23" fillId="0" borderId="0" xfId="0" applyFont="1"/>
    <xf numFmtId="0" fontId="26" fillId="0" borderId="0" xfId="0" applyFont="1" applyAlignment="1">
      <alignment horizontal="left" vertical="center" indent="1"/>
    </xf>
    <xf numFmtId="0" fontId="26" fillId="0" borderId="0" xfId="0" applyFont="1" applyAlignment="1">
      <alignment horizontal="left" vertical="center" indent="2"/>
    </xf>
    <xf numFmtId="166" fontId="23" fillId="0" borderId="0" xfId="0" applyNumberFormat="1" applyFont="1" applyAlignment="1" applyProtection="1">
      <alignment horizontal="right"/>
      <protection hidden="1"/>
    </xf>
    <xf numFmtId="166" fontId="23" fillId="0" borderId="0" xfId="0" applyNumberFormat="1" applyFont="1" applyProtection="1">
      <protection hidden="1"/>
    </xf>
    <xf numFmtId="169" fontId="0" fillId="0" borderId="0" xfId="3" applyNumberFormat="1" applyFont="1"/>
    <xf numFmtId="169" fontId="32" fillId="0" borderId="0" xfId="3" applyNumberFormat="1" applyFont="1" applyAlignment="1">
      <alignment horizontal="center"/>
    </xf>
    <xf numFmtId="175" fontId="29" fillId="0" borderId="0" xfId="3" applyNumberFormat="1" applyFont="1"/>
    <xf numFmtId="1" fontId="33" fillId="0" borderId="0" xfId="0" applyNumberFormat="1" applyFont="1" applyAlignment="1">
      <alignment horizontal="center"/>
    </xf>
    <xf numFmtId="176" fontId="32" fillId="0" borderId="0" xfId="3" applyNumberFormat="1" applyFont="1" applyAlignment="1">
      <alignment horizontal="center"/>
    </xf>
    <xf numFmtId="2" fontId="33" fillId="0" borderId="0" xfId="0" applyNumberFormat="1" applyFont="1" applyAlignment="1">
      <alignment horizontal="center"/>
    </xf>
    <xf numFmtId="6" fontId="33" fillId="0" borderId="0" xfId="0" applyNumberFormat="1" applyFont="1" applyAlignment="1">
      <alignment horizontal="center"/>
    </xf>
    <xf numFmtId="0" fontId="34" fillId="0" borderId="0" xfId="0" applyFont="1" applyAlignment="1">
      <alignment horizontal="left"/>
    </xf>
    <xf numFmtId="0" fontId="22" fillId="0" borderId="0" xfId="0" applyFont="1" applyAlignment="1">
      <alignment horizontal="left"/>
    </xf>
    <xf numFmtId="0" fontId="35" fillId="0" borderId="0" xfId="0" applyFont="1" applyAlignment="1">
      <alignment horizontal="left"/>
    </xf>
    <xf numFmtId="0" fontId="33" fillId="0" borderId="26" xfId="0" applyFont="1" applyBorder="1" applyAlignment="1">
      <alignment horizontal="right"/>
    </xf>
    <xf numFmtId="0" fontId="33" fillId="0" borderId="0" xfId="0" applyFont="1" applyAlignment="1">
      <alignment horizontal="right"/>
    </xf>
    <xf numFmtId="0" fontId="38" fillId="0" borderId="26" xfId="0" applyFont="1" applyBorder="1"/>
    <xf numFmtId="0" fontId="38" fillId="0" borderId="26" xfId="0" applyFont="1" applyBorder="1" applyAlignment="1">
      <alignment horizontal="right"/>
    </xf>
    <xf numFmtId="0" fontId="39" fillId="0" borderId="0" xfId="0" applyFont="1"/>
    <xf numFmtId="0" fontId="33" fillId="0" borderId="0" xfId="0" applyFont="1" applyAlignment="1">
      <alignment horizontal="left"/>
    </xf>
    <xf numFmtId="6" fontId="40" fillId="0" borderId="0" xfId="0" applyNumberFormat="1" applyFont="1" applyAlignment="1">
      <alignment horizontal="right"/>
    </xf>
    <xf numFmtId="177" fontId="39" fillId="0" borderId="0" xfId="0" applyNumberFormat="1" applyFont="1"/>
    <xf numFmtId="2" fontId="39" fillId="0" borderId="0" xfId="0" applyNumberFormat="1" applyFont="1"/>
    <xf numFmtId="178" fontId="39" fillId="0" borderId="0" xfId="0" applyNumberFormat="1" applyFont="1"/>
    <xf numFmtId="169" fontId="39" fillId="0" borderId="0" xfId="3" applyNumberFormat="1" applyFont="1"/>
    <xf numFmtId="0" fontId="0" fillId="0" borderId="0" xfId="0" applyAlignment="1">
      <alignment vertical="center"/>
    </xf>
    <xf numFmtId="166" fontId="31" fillId="5" borderId="0" xfId="0" applyNumberFormat="1" applyFont="1" applyFill="1" applyAlignment="1">
      <alignment horizontal="left" vertical="top"/>
    </xf>
    <xf numFmtId="170" fontId="17" fillId="0" borderId="15" xfId="3" applyNumberFormat="1" applyFont="1" applyBorder="1" applyAlignment="1" applyProtection="1">
      <alignment horizontal="center"/>
      <protection hidden="1"/>
    </xf>
    <xf numFmtId="0" fontId="41" fillId="6" borderId="21" xfId="4" applyFont="1" applyFill="1" applyBorder="1" applyProtection="1">
      <protection hidden="1"/>
    </xf>
    <xf numFmtId="172" fontId="41" fillId="6" borderId="22" xfId="4" applyNumberFormat="1" applyFont="1" applyFill="1" applyBorder="1" applyAlignment="1" applyProtection="1">
      <alignment horizontal="center"/>
      <protection hidden="1"/>
    </xf>
    <xf numFmtId="1" fontId="17" fillId="7" borderId="23" xfId="3" applyNumberFormat="1" applyFont="1" applyFill="1" applyBorder="1" applyAlignment="1" applyProtection="1">
      <alignment horizontal="center"/>
      <protection locked="0"/>
    </xf>
    <xf numFmtId="1" fontId="17" fillId="7" borderId="23" xfId="3" applyNumberFormat="1" applyFont="1" applyFill="1" applyBorder="1" applyProtection="1">
      <protection locked="0"/>
    </xf>
    <xf numFmtId="173" fontId="17" fillId="7" borderId="2" xfId="3" applyNumberFormat="1" applyFont="1" applyFill="1" applyBorder="1" applyAlignment="1" applyProtection="1">
      <alignment horizontal="center"/>
      <protection locked="0"/>
    </xf>
    <xf numFmtId="1" fontId="19" fillId="7" borderId="6" xfId="4" applyNumberFormat="1" applyFont="1" applyFill="1" applyBorder="1" applyAlignment="1" applyProtection="1">
      <alignment horizontal="center"/>
      <protection locked="0"/>
    </xf>
    <xf numFmtId="9" fontId="20" fillId="7" borderId="6" xfId="6" applyFont="1" applyFill="1" applyBorder="1" applyAlignment="1" applyProtection="1">
      <alignment horizontal="center"/>
      <protection locked="0"/>
    </xf>
    <xf numFmtId="9" fontId="20" fillId="7" borderId="11" xfId="6" applyFont="1" applyFill="1" applyBorder="1" applyAlignment="1" applyProtection="1">
      <alignment horizontal="center"/>
      <protection locked="0"/>
    </xf>
    <xf numFmtId="170" fontId="20" fillId="7" borderId="6" xfId="3" applyNumberFormat="1" applyFont="1" applyFill="1" applyBorder="1" applyAlignment="1" applyProtection="1">
      <alignment horizontal="center"/>
      <protection locked="0"/>
    </xf>
    <xf numFmtId="1" fontId="18" fillId="7" borderId="6" xfId="4" applyNumberFormat="1" applyFont="1" applyFill="1" applyBorder="1" applyAlignment="1" applyProtection="1">
      <alignment horizontal="center"/>
      <protection locked="0"/>
    </xf>
    <xf numFmtId="10" fontId="18" fillId="7" borderId="6" xfId="6" applyNumberFormat="1" applyFont="1" applyFill="1" applyBorder="1" applyAlignment="1" applyProtection="1">
      <alignment horizontal="center"/>
      <protection locked="0"/>
    </xf>
    <xf numFmtId="0" fontId="18" fillId="7" borderId="6" xfId="4" applyFont="1" applyFill="1" applyBorder="1" applyAlignment="1" applyProtection="1">
      <alignment horizontal="center"/>
      <protection locked="0"/>
    </xf>
    <xf numFmtId="170" fontId="18" fillId="7" borderId="10" xfId="3" applyNumberFormat="1" applyFont="1" applyFill="1" applyBorder="1" applyAlignment="1" applyProtection="1">
      <alignment horizontal="center"/>
      <protection locked="0"/>
    </xf>
    <xf numFmtId="170" fontId="17" fillId="7" borderId="2" xfId="4" applyNumberFormat="1" applyFont="1" applyFill="1" applyBorder="1" applyAlignment="1" applyProtection="1">
      <alignment horizontal="center"/>
      <protection locked="0"/>
    </xf>
    <xf numFmtId="166" fontId="23" fillId="0" borderId="0" xfId="4" quotePrefix="1" applyNumberFormat="1" applyFont="1" applyAlignment="1" applyProtection="1">
      <alignment horizontal="left"/>
      <protection hidden="1"/>
    </xf>
    <xf numFmtId="169" fontId="23" fillId="0" borderId="0" xfId="3" applyNumberFormat="1" applyFont="1"/>
    <xf numFmtId="49" fontId="0" fillId="0" borderId="0" xfId="3" applyNumberFormat="1" applyFont="1"/>
    <xf numFmtId="1" fontId="17" fillId="7" borderId="6" xfId="4" applyNumberFormat="1" applyFont="1" applyFill="1" applyBorder="1" applyAlignment="1" applyProtection="1">
      <alignment horizontal="center"/>
      <protection locked="0"/>
    </xf>
    <xf numFmtId="0" fontId="20" fillId="7" borderId="8" xfId="4" applyFont="1" applyFill="1" applyBorder="1" applyAlignment="1" applyProtection="1">
      <alignment horizontal="left"/>
      <protection locked="0"/>
    </xf>
    <xf numFmtId="9" fontId="17" fillId="4" borderId="1" xfId="4" applyNumberFormat="1" applyFont="1" applyFill="1" applyBorder="1" applyAlignment="1" applyProtection="1">
      <alignment horizontal="center"/>
      <protection hidden="1"/>
    </xf>
    <xf numFmtId="168" fontId="23" fillId="0" borderId="0" xfId="0" applyNumberFormat="1" applyFont="1" applyAlignment="1" applyProtection="1">
      <alignment horizontal="right"/>
      <protection hidden="1"/>
    </xf>
    <xf numFmtId="168" fontId="23" fillId="0" borderId="0" xfId="4" applyNumberFormat="1" applyFont="1" applyAlignment="1" applyProtection="1">
      <alignment horizontal="right"/>
      <protection hidden="1"/>
    </xf>
    <xf numFmtId="168" fontId="23" fillId="0" borderId="0" xfId="0" applyNumberFormat="1" applyFont="1" applyProtection="1">
      <protection hidden="1"/>
    </xf>
    <xf numFmtId="44" fontId="20" fillId="0" borderId="17" xfId="3" applyFont="1" applyBorder="1" applyProtection="1">
      <protection hidden="1"/>
    </xf>
    <xf numFmtId="168" fontId="0" fillId="0" borderId="0" xfId="0" applyNumberFormat="1"/>
    <xf numFmtId="9" fontId="20" fillId="4" borderId="6" xfId="6" applyFont="1" applyFill="1" applyBorder="1" applyAlignment="1" applyProtection="1">
      <alignment horizontal="center"/>
      <protection hidden="1"/>
    </xf>
    <xf numFmtId="0" fontId="18" fillId="4" borderId="6" xfId="4" applyFont="1" applyFill="1" applyBorder="1" applyAlignment="1" applyProtection="1">
      <alignment horizontal="center"/>
      <protection hidden="1"/>
    </xf>
    <xf numFmtId="0" fontId="18" fillId="4" borderId="2" xfId="4" applyFont="1" applyFill="1" applyBorder="1" applyAlignment="1" applyProtection="1">
      <alignment horizontal="center"/>
      <protection hidden="1"/>
    </xf>
    <xf numFmtId="9" fontId="18" fillId="4" borderId="10" xfId="6" applyFont="1" applyFill="1" applyBorder="1" applyAlignment="1" applyProtection="1">
      <alignment horizontal="center"/>
      <protection hidden="1"/>
    </xf>
    <xf numFmtId="0" fontId="18" fillId="4" borderId="14" xfId="4" applyFont="1" applyFill="1" applyBorder="1" applyAlignment="1" applyProtection="1">
      <alignment horizontal="center"/>
      <protection hidden="1"/>
    </xf>
    <xf numFmtId="0" fontId="45" fillId="0" borderId="0" xfId="0" applyFont="1" applyAlignment="1">
      <alignment horizontal="left" vertical="center" wrapText="1"/>
    </xf>
    <xf numFmtId="0" fontId="45" fillId="0" borderId="0" xfId="0" applyFont="1" applyAlignment="1">
      <alignment vertical="center" wrapText="1"/>
    </xf>
    <xf numFmtId="0" fontId="45" fillId="0" borderId="0" xfId="0" applyFont="1" applyAlignment="1">
      <alignment vertical="center"/>
    </xf>
    <xf numFmtId="0" fontId="46" fillId="0" borderId="0" xfId="0" applyFont="1" applyAlignment="1">
      <alignment horizontal="left" vertical="center" wrapText="1"/>
    </xf>
    <xf numFmtId="0" fontId="46" fillId="0" borderId="0" xfId="0" applyFont="1" applyAlignment="1">
      <alignment vertical="center" wrapText="1"/>
    </xf>
    <xf numFmtId="0" fontId="46" fillId="0" borderId="0" xfId="0" applyFont="1" applyAlignment="1">
      <alignment vertical="center"/>
    </xf>
    <xf numFmtId="0" fontId="47" fillId="0" borderId="0" xfId="0" applyFont="1" applyAlignment="1">
      <alignment vertical="center"/>
    </xf>
    <xf numFmtId="10" fontId="23" fillId="0" borderId="0" xfId="0" applyNumberFormat="1" applyFont="1" applyAlignment="1" applyProtection="1">
      <alignment horizontal="center"/>
      <protection hidden="1"/>
    </xf>
    <xf numFmtId="0" fontId="24" fillId="0" borderId="0" xfId="0" applyFont="1" applyProtection="1">
      <protection hidden="1"/>
    </xf>
    <xf numFmtId="166" fontId="24" fillId="0" borderId="0" xfId="0" applyNumberFormat="1" applyFont="1" applyProtection="1">
      <protection hidden="1"/>
    </xf>
    <xf numFmtId="0" fontId="24" fillId="0" borderId="0" xfId="0" applyFont="1" applyAlignment="1" applyProtection="1">
      <alignment horizontal="center"/>
      <protection hidden="1"/>
    </xf>
    <xf numFmtId="0" fontId="48" fillId="0" borderId="0" xfId="0" applyFont="1" applyAlignment="1">
      <alignment horizontal="left" vertical="top"/>
    </xf>
    <xf numFmtId="0" fontId="23" fillId="0" borderId="0" xfId="0" applyFont="1" applyAlignment="1">
      <alignment horizontal="center"/>
    </xf>
    <xf numFmtId="169" fontId="0" fillId="0" borderId="0" xfId="0" applyNumberFormat="1"/>
    <xf numFmtId="44" fontId="23" fillId="0" borderId="0" xfId="3" applyFont="1" applyProtection="1">
      <protection hidden="1"/>
    </xf>
    <xf numFmtId="170" fontId="53" fillId="0" borderId="0" xfId="0" applyNumberFormat="1" applyFont="1" applyAlignment="1" applyProtection="1">
      <alignment horizontal="center"/>
      <protection hidden="1"/>
    </xf>
    <xf numFmtId="0" fontId="53" fillId="0" borderId="0" xfId="4" applyFont="1" applyProtection="1">
      <protection hidden="1"/>
    </xf>
    <xf numFmtId="1" fontId="23" fillId="0" borderId="0" xfId="0" applyNumberFormat="1" applyFont="1" applyProtection="1">
      <protection hidden="1"/>
    </xf>
    <xf numFmtId="0" fontId="27" fillId="0" borderId="0" xfId="0" applyFont="1" applyAlignment="1">
      <alignment horizontal="left"/>
    </xf>
    <xf numFmtId="0" fontId="23" fillId="0" borderId="0" xfId="0" applyFont="1" applyAlignment="1">
      <alignment horizontal="left"/>
    </xf>
    <xf numFmtId="166" fontId="23" fillId="0" borderId="0" xfId="0" applyNumberFormat="1" applyFont="1"/>
    <xf numFmtId="0" fontId="24" fillId="3" borderId="21" xfId="0" applyFont="1" applyFill="1" applyBorder="1"/>
    <xf numFmtId="0" fontId="23" fillId="3" borderId="22" xfId="0" applyFont="1" applyFill="1" applyBorder="1"/>
    <xf numFmtId="0" fontId="23" fillId="3" borderId="3" xfId="0" applyFont="1" applyFill="1" applyBorder="1" applyAlignment="1" applyProtection="1">
      <alignment horizontal="left"/>
      <protection hidden="1"/>
    </xf>
    <xf numFmtId="0" fontId="23" fillId="3" borderId="5" xfId="0" applyFont="1" applyFill="1" applyBorder="1" applyAlignment="1" applyProtection="1">
      <alignment horizontal="center"/>
      <protection hidden="1"/>
    </xf>
    <xf numFmtId="0" fontId="23" fillId="3" borderId="48" xfId="0" applyFont="1" applyFill="1" applyBorder="1" applyAlignment="1" applyProtection="1">
      <alignment horizontal="left"/>
      <protection hidden="1"/>
    </xf>
    <xf numFmtId="0" fontId="23" fillId="3" borderId="27" xfId="0" applyFont="1" applyFill="1" applyBorder="1" applyAlignment="1" applyProtection="1">
      <alignment horizontal="center"/>
      <protection hidden="1"/>
    </xf>
    <xf numFmtId="164" fontId="19" fillId="7" borderId="6" xfId="4" applyNumberFormat="1" applyFont="1" applyFill="1" applyBorder="1" applyAlignment="1" applyProtection="1">
      <alignment horizontal="center" vertical="center"/>
      <protection locked="0"/>
    </xf>
    <xf numFmtId="9" fontId="18" fillId="7" borderId="6" xfId="6" applyFont="1" applyFill="1" applyBorder="1" applyAlignment="1" applyProtection="1">
      <alignment horizontal="center" vertical="center"/>
      <protection locked="0"/>
    </xf>
    <xf numFmtId="0" fontId="18" fillId="7" borderId="6" xfId="0" applyFont="1" applyFill="1" applyBorder="1" applyAlignment="1" applyProtection="1">
      <alignment horizontal="center" vertical="center"/>
      <protection locked="0"/>
    </xf>
    <xf numFmtId="0" fontId="57" fillId="0" borderId="0" xfId="4" applyFont="1" applyProtection="1">
      <protection hidden="1"/>
    </xf>
    <xf numFmtId="0" fontId="31" fillId="0" borderId="0" xfId="0" applyFont="1" applyAlignment="1">
      <alignment horizontal="left" vertical="top"/>
    </xf>
    <xf numFmtId="166" fontId="23" fillId="3" borderId="0" xfId="4" applyNumberFormat="1" applyFont="1" applyFill="1" applyAlignment="1" applyProtection="1">
      <alignment horizontal="center"/>
      <protection locked="0"/>
    </xf>
    <xf numFmtId="0" fontId="23" fillId="3" borderId="0" xfId="4" applyFont="1" applyFill="1" applyProtection="1">
      <protection locked="0"/>
    </xf>
    <xf numFmtId="10" fontId="23" fillId="3" borderId="0" xfId="4" applyNumberFormat="1" applyFont="1" applyFill="1" applyProtection="1">
      <protection locked="0"/>
    </xf>
    <xf numFmtId="166" fontId="23" fillId="3" borderId="0" xfId="3" applyNumberFormat="1" applyFont="1" applyFill="1" applyAlignment="1" applyProtection="1">
      <alignment horizontal="left"/>
      <protection locked="0"/>
    </xf>
    <xf numFmtId="166" fontId="23" fillId="3" borderId="0" xfId="4" applyNumberFormat="1" applyFont="1" applyFill="1" applyProtection="1">
      <protection locked="0"/>
    </xf>
    <xf numFmtId="44" fontId="23" fillId="3" borderId="0" xfId="3" applyFont="1" applyFill="1" applyAlignment="1" applyProtection="1">
      <alignment horizontal="left"/>
      <protection locked="0"/>
    </xf>
    <xf numFmtId="0" fontId="23" fillId="3" borderId="0" xfId="0" applyFont="1" applyFill="1" applyProtection="1">
      <protection locked="0"/>
    </xf>
    <xf numFmtId="166" fontId="23" fillId="3" borderId="0" xfId="0" applyNumberFormat="1" applyFont="1" applyFill="1" applyAlignment="1" applyProtection="1">
      <alignment horizontal="left"/>
      <protection locked="0"/>
    </xf>
    <xf numFmtId="10" fontId="23" fillId="3" borderId="0" xfId="0" applyNumberFormat="1" applyFont="1" applyFill="1" applyAlignment="1" applyProtection="1">
      <alignment horizontal="right"/>
      <protection locked="0"/>
    </xf>
    <xf numFmtId="10" fontId="23" fillId="3" borderId="0" xfId="4" applyNumberFormat="1" applyFont="1" applyFill="1" applyAlignment="1" applyProtection="1">
      <alignment horizontal="right"/>
      <protection locked="0"/>
    </xf>
    <xf numFmtId="10" fontId="23" fillId="3" borderId="0" xfId="4" applyNumberFormat="1" applyFont="1" applyFill="1" applyAlignment="1" applyProtection="1">
      <alignment horizontal="center"/>
      <protection locked="0"/>
    </xf>
    <xf numFmtId="10" fontId="23" fillId="3" borderId="0" xfId="6" applyNumberFormat="1" applyFont="1" applyFill="1" applyProtection="1">
      <protection locked="0"/>
    </xf>
    <xf numFmtId="0" fontId="23" fillId="3" borderId="0" xfId="4" applyFont="1" applyFill="1" applyAlignment="1" applyProtection="1">
      <alignment horizontal="left"/>
      <protection locked="0"/>
    </xf>
    <xf numFmtId="0" fontId="23" fillId="3" borderId="0" xfId="5" applyFont="1" applyFill="1" applyAlignment="1" applyProtection="1">
      <alignment horizontal="left"/>
      <protection locked="0"/>
    </xf>
    <xf numFmtId="0" fontId="48" fillId="0" borderId="0" xfId="0" applyFont="1" applyAlignment="1">
      <alignment vertical="top"/>
    </xf>
    <xf numFmtId="0" fontId="48" fillId="0" borderId="49" xfId="0" applyFont="1" applyBorder="1" applyAlignment="1">
      <alignment horizontal="left" vertical="top"/>
    </xf>
    <xf numFmtId="166" fontId="23" fillId="0" borderId="0" xfId="0" applyNumberFormat="1" applyFont="1" applyAlignment="1" applyProtection="1">
      <alignment horizontal="left"/>
      <protection locked="0"/>
    </xf>
    <xf numFmtId="0" fontId="18" fillId="0" borderId="3" xfId="4" applyFont="1" applyBorder="1" applyAlignment="1" applyProtection="1">
      <alignment horizontal="left"/>
      <protection hidden="1"/>
    </xf>
    <xf numFmtId="0" fontId="18" fillId="0" borderId="48" xfId="4" applyFont="1" applyBorder="1" applyAlignment="1" applyProtection="1">
      <alignment horizontal="left"/>
      <protection hidden="1"/>
    </xf>
    <xf numFmtId="0" fontId="18" fillId="0" borderId="0" xfId="4" applyFont="1" applyProtection="1">
      <protection hidden="1"/>
    </xf>
    <xf numFmtId="0" fontId="23" fillId="6" borderId="0" xfId="0" applyFont="1" applyFill="1"/>
    <xf numFmtId="0" fontId="59" fillId="6" borderId="0" xfId="0" applyFont="1" applyFill="1" applyAlignment="1">
      <alignment horizontal="left"/>
    </xf>
    <xf numFmtId="0" fontId="59" fillId="0" borderId="0" xfId="0" applyFont="1" applyAlignment="1">
      <alignment horizontal="left"/>
    </xf>
    <xf numFmtId="0" fontId="57" fillId="0" borderId="0" xfId="0" applyFont="1"/>
    <xf numFmtId="49" fontId="57" fillId="0" borderId="0" xfId="0" applyNumberFormat="1" applyFont="1" applyAlignment="1">
      <alignment horizontal="center"/>
    </xf>
    <xf numFmtId="0" fontId="57" fillId="0" borderId="0" xfId="0" applyFont="1" applyAlignment="1">
      <alignment horizontal="center"/>
    </xf>
    <xf numFmtId="15" fontId="57" fillId="0" borderId="0" xfId="0" applyNumberFormat="1" applyFont="1"/>
    <xf numFmtId="15" fontId="23" fillId="0" borderId="0" xfId="0" applyNumberFormat="1" applyFont="1"/>
    <xf numFmtId="15" fontId="51" fillId="6" borderId="0" xfId="0" applyNumberFormat="1" applyFont="1" applyFill="1"/>
    <xf numFmtId="171" fontId="20" fillId="0" borderId="6" xfId="6" applyNumberFormat="1" applyFont="1" applyBorder="1" applyAlignment="1" applyProtection="1">
      <alignment horizontal="center"/>
      <protection hidden="1"/>
    </xf>
    <xf numFmtId="49" fontId="18" fillId="7" borderId="11" xfId="4" applyNumberFormat="1" applyFont="1" applyFill="1" applyBorder="1" applyAlignment="1" applyProtection="1">
      <alignment horizontal="center"/>
      <protection locked="0"/>
    </xf>
    <xf numFmtId="170" fontId="17" fillId="0" borderId="38" xfId="3" applyNumberFormat="1" applyFont="1" applyBorder="1" applyAlignment="1" applyProtection="1">
      <alignment horizontal="center"/>
      <protection hidden="1"/>
    </xf>
    <xf numFmtId="0" fontId="18" fillId="0" borderId="6" xfId="4" applyFont="1" applyBorder="1" applyProtection="1">
      <protection hidden="1"/>
    </xf>
    <xf numFmtId="0" fontId="60" fillId="0" borderId="0" xfId="0" applyFont="1" applyAlignment="1">
      <alignment horizontal="left" vertical="center" indent="1"/>
    </xf>
    <xf numFmtId="0" fontId="46" fillId="0" borderId="0" xfId="0" applyFont="1" applyAlignment="1">
      <alignment horizontal="center" vertical="center" wrapText="1"/>
    </xf>
    <xf numFmtId="9" fontId="46" fillId="0" borderId="0" xfId="0" applyNumberFormat="1" applyFont="1" applyAlignment="1">
      <alignment horizontal="center" vertical="center" wrapText="1"/>
    </xf>
    <xf numFmtId="10" fontId="46" fillId="0" borderId="0" xfId="0" applyNumberFormat="1" applyFont="1" applyAlignment="1">
      <alignment horizontal="center" vertical="center" wrapText="1"/>
    </xf>
    <xf numFmtId="0" fontId="46" fillId="0" borderId="0" xfId="0" applyFont="1" applyAlignment="1">
      <alignment horizontal="left" vertical="center" indent="1"/>
    </xf>
    <xf numFmtId="166" fontId="23" fillId="0" borderId="0" xfId="4" applyNumberFormat="1" applyFont="1" applyProtection="1">
      <protection hidden="1"/>
    </xf>
    <xf numFmtId="164" fontId="19" fillId="7" borderId="6" xfId="4" applyNumberFormat="1" applyFont="1" applyFill="1" applyBorder="1" applyAlignment="1" applyProtection="1">
      <alignment horizontal="center"/>
      <protection locked="0"/>
    </xf>
    <xf numFmtId="166" fontId="17" fillId="7" borderId="6" xfId="3" applyNumberFormat="1" applyFont="1" applyFill="1" applyBorder="1" applyAlignment="1" applyProtection="1">
      <alignment horizontal="center"/>
      <protection locked="0"/>
    </xf>
    <xf numFmtId="164" fontId="19" fillId="7" borderId="2" xfId="4" applyNumberFormat="1" applyFont="1" applyFill="1" applyBorder="1" applyAlignment="1" applyProtection="1">
      <alignment horizontal="center"/>
      <protection locked="0"/>
    </xf>
    <xf numFmtId="166" fontId="17" fillId="7" borderId="11" xfId="3" applyNumberFormat="1" applyFont="1" applyFill="1" applyBorder="1" applyAlignment="1" applyProtection="1">
      <alignment horizontal="center"/>
      <protection locked="0"/>
    </xf>
    <xf numFmtId="164" fontId="19" fillId="7" borderId="7" xfId="4" applyNumberFormat="1" applyFont="1" applyFill="1" applyBorder="1" applyAlignment="1" applyProtection="1">
      <alignment horizontal="center"/>
      <protection locked="0"/>
    </xf>
    <xf numFmtId="0" fontId="17" fillId="0" borderId="8" xfId="4" applyFont="1" applyBorder="1" applyAlignment="1" applyProtection="1">
      <alignment horizontal="left" vertical="center" wrapText="1"/>
      <protection hidden="1"/>
    </xf>
    <xf numFmtId="0" fontId="17" fillId="0" borderId="2" xfId="4" applyFont="1" applyBorder="1" applyAlignment="1" applyProtection="1">
      <alignment horizontal="center" vertical="center" wrapText="1"/>
      <protection hidden="1"/>
    </xf>
    <xf numFmtId="0" fontId="18" fillId="7" borderId="6" xfId="0" applyFont="1" applyFill="1" applyBorder="1" applyAlignment="1" applyProtection="1">
      <alignment horizontal="center"/>
      <protection locked="0"/>
    </xf>
    <xf numFmtId="1" fontId="18" fillId="0" borderId="6" xfId="0" applyNumberFormat="1" applyFont="1" applyBorder="1" applyAlignment="1" applyProtection="1">
      <alignment horizontal="center"/>
      <protection hidden="1"/>
    </xf>
    <xf numFmtId="170" fontId="17" fillId="0" borderId="2" xfId="3" applyNumberFormat="1" applyFont="1" applyBorder="1" applyAlignment="1" applyProtection="1">
      <alignment horizontal="center"/>
      <protection hidden="1"/>
    </xf>
    <xf numFmtId="49" fontId="19" fillId="5" borderId="0" xfId="4" applyNumberFormat="1" applyFont="1" applyFill="1" applyAlignment="1" applyProtection="1">
      <alignment horizontal="center"/>
      <protection hidden="1"/>
    </xf>
    <xf numFmtId="0" fontId="61" fillId="6" borderId="4" xfId="4" applyFont="1" applyFill="1" applyBorder="1" applyProtection="1">
      <protection hidden="1"/>
    </xf>
    <xf numFmtId="0" fontId="53" fillId="0" borderId="0" xfId="4" applyFont="1" applyProtection="1">
      <protection locked="0"/>
    </xf>
    <xf numFmtId="0" fontId="17" fillId="5" borderId="3" xfId="4" applyFont="1" applyFill="1" applyBorder="1" applyProtection="1">
      <protection hidden="1"/>
    </xf>
    <xf numFmtId="0" fontId="18" fillId="5" borderId="0" xfId="4" applyFont="1" applyFill="1" applyProtection="1">
      <protection hidden="1"/>
    </xf>
    <xf numFmtId="0" fontId="17" fillId="5" borderId="0" xfId="4" applyFont="1" applyFill="1" applyProtection="1">
      <protection hidden="1"/>
    </xf>
    <xf numFmtId="172" fontId="17" fillId="5" borderId="5" xfId="4" applyNumberFormat="1" applyFont="1" applyFill="1" applyBorder="1" applyAlignment="1" applyProtection="1">
      <alignment horizontal="center"/>
      <protection hidden="1"/>
    </xf>
    <xf numFmtId="0" fontId="17" fillId="5" borderId="5" xfId="4" applyFont="1" applyFill="1" applyBorder="1" applyProtection="1">
      <protection hidden="1"/>
    </xf>
    <xf numFmtId="0" fontId="21" fillId="0" borderId="5" xfId="0" applyFont="1" applyBorder="1"/>
    <xf numFmtId="0" fontId="18" fillId="5" borderId="3" xfId="4" applyFont="1" applyFill="1" applyBorder="1" applyProtection="1">
      <protection hidden="1"/>
    </xf>
    <xf numFmtId="0" fontId="17" fillId="5" borderId="0" xfId="4" applyFont="1" applyFill="1" applyAlignment="1" applyProtection="1">
      <alignment horizontal="center"/>
      <protection hidden="1"/>
    </xf>
    <xf numFmtId="0" fontId="18" fillId="5" borderId="0" xfId="4" applyFont="1" applyFill="1" applyAlignment="1" applyProtection="1">
      <alignment horizontal="center"/>
      <protection hidden="1"/>
    </xf>
    <xf numFmtId="0" fontId="17" fillId="5" borderId="5" xfId="4" applyFont="1" applyFill="1" applyBorder="1" applyAlignment="1" applyProtection="1">
      <alignment horizontal="center"/>
      <protection hidden="1"/>
    </xf>
    <xf numFmtId="0" fontId="18" fillId="5" borderId="0" xfId="4" applyFont="1" applyFill="1" applyAlignment="1" applyProtection="1">
      <alignment vertical="center"/>
      <protection hidden="1"/>
    </xf>
    <xf numFmtId="0" fontId="18" fillId="0" borderId="0" xfId="4" applyFont="1" applyAlignment="1" applyProtection="1">
      <alignment vertical="center"/>
      <protection hidden="1"/>
    </xf>
    <xf numFmtId="0" fontId="53" fillId="0" borderId="0" xfId="4" applyFont="1" applyAlignment="1" applyProtection="1">
      <alignment vertical="center"/>
      <protection hidden="1"/>
    </xf>
    <xf numFmtId="0" fontId="53" fillId="0" borderId="0" xfId="4" applyFont="1" applyAlignment="1" applyProtection="1">
      <alignment vertical="center"/>
      <protection locked="0"/>
    </xf>
    <xf numFmtId="0" fontId="17" fillId="0" borderId="8" xfId="4" applyFont="1" applyBorder="1" applyAlignment="1" applyProtection="1">
      <alignment horizontal="left"/>
      <protection hidden="1"/>
    </xf>
    <xf numFmtId="0" fontId="52" fillId="0" borderId="0" xfId="4" applyFont="1" applyProtection="1">
      <protection hidden="1"/>
    </xf>
    <xf numFmtId="2" fontId="18" fillId="0" borderId="0" xfId="4" applyNumberFormat="1" applyFont="1" applyAlignment="1" applyProtection="1">
      <alignment horizontal="right"/>
      <protection hidden="1"/>
    </xf>
    <xf numFmtId="2" fontId="18" fillId="0" borderId="0" xfId="4" applyNumberFormat="1" applyFont="1" applyProtection="1">
      <protection hidden="1"/>
    </xf>
    <xf numFmtId="2" fontId="20" fillId="0" borderId="0" xfId="2" applyNumberFormat="1" applyFont="1" applyAlignment="1" applyProtection="1">
      <alignment horizontal="right"/>
      <protection hidden="1"/>
    </xf>
    <xf numFmtId="169" fontId="53" fillId="0" borderId="0" xfId="3" applyNumberFormat="1" applyFont="1"/>
    <xf numFmtId="169" fontId="53" fillId="0" borderId="0" xfId="4" applyNumberFormat="1" applyFont="1" applyProtection="1">
      <protection hidden="1"/>
    </xf>
    <xf numFmtId="0" fontId="17" fillId="0" borderId="8" xfId="4" applyFont="1" applyBorder="1" applyAlignment="1" applyProtection="1">
      <alignment vertical="center"/>
      <protection hidden="1"/>
    </xf>
    <xf numFmtId="0" fontId="17" fillId="0" borderId="6" xfId="4" applyFont="1" applyBorder="1" applyAlignment="1" applyProtection="1">
      <alignment horizontal="center" vertical="center"/>
      <protection hidden="1"/>
    </xf>
    <xf numFmtId="166" fontId="17" fillId="7" borderId="6" xfId="4" applyNumberFormat="1" applyFont="1" applyFill="1" applyBorder="1" applyAlignment="1" applyProtection="1">
      <alignment horizontal="center"/>
      <protection locked="0"/>
    </xf>
    <xf numFmtId="0" fontId="53" fillId="0" borderId="0" xfId="5" applyFont="1" applyProtection="1">
      <protection hidden="1"/>
    </xf>
    <xf numFmtId="2" fontId="53" fillId="0" borderId="0" xfId="4" applyNumberFormat="1" applyFont="1" applyProtection="1">
      <protection hidden="1"/>
    </xf>
    <xf numFmtId="0" fontId="18" fillId="0" borderId="0" xfId="5" applyFont="1" applyProtection="1">
      <protection hidden="1"/>
    </xf>
    <xf numFmtId="168" fontId="18" fillId="0" borderId="0" xfId="4" applyNumberFormat="1" applyFont="1" applyProtection="1">
      <protection hidden="1"/>
    </xf>
    <xf numFmtId="168" fontId="17" fillId="0" borderId="0" xfId="4" applyNumberFormat="1" applyFont="1" applyProtection="1">
      <protection hidden="1"/>
    </xf>
    <xf numFmtId="1" fontId="53" fillId="0" borderId="0" xfId="4" applyNumberFormat="1" applyFont="1" applyProtection="1">
      <protection hidden="1"/>
    </xf>
    <xf numFmtId="10" fontId="53" fillId="0" borderId="0" xfId="4" applyNumberFormat="1" applyFont="1" applyProtection="1">
      <protection hidden="1"/>
    </xf>
    <xf numFmtId="49" fontId="53" fillId="0" borderId="0" xfId="4" applyNumberFormat="1" applyFont="1" applyAlignment="1" applyProtection="1">
      <alignment horizontal="left"/>
      <protection hidden="1"/>
    </xf>
    <xf numFmtId="10" fontId="53" fillId="0" borderId="0" xfId="6" applyNumberFormat="1" applyFont="1" applyProtection="1">
      <protection hidden="1"/>
    </xf>
    <xf numFmtId="170" fontId="53" fillId="0" borderId="0" xfId="4" applyNumberFormat="1" applyFont="1" applyProtection="1">
      <protection hidden="1"/>
    </xf>
    <xf numFmtId="0" fontId="53" fillId="0" borderId="0" xfId="5" applyFont="1" applyProtection="1">
      <protection locked="0"/>
    </xf>
    <xf numFmtId="0" fontId="53" fillId="0" borderId="0" xfId="4" applyFont="1" applyAlignment="1" applyProtection="1">
      <alignment horizontal="left"/>
      <protection hidden="1"/>
    </xf>
    <xf numFmtId="0" fontId="65" fillId="0" borderId="0" xfId="4" applyFont="1" applyAlignment="1" applyProtection="1">
      <alignment horizontal="left"/>
      <protection hidden="1"/>
    </xf>
    <xf numFmtId="0" fontId="66" fillId="0" borderId="0" xfId="4" applyFont="1" applyAlignment="1" applyProtection="1">
      <alignment horizontal="left"/>
      <protection hidden="1"/>
    </xf>
    <xf numFmtId="0" fontId="67" fillId="0" borderId="0" xfId="4" applyFont="1" applyAlignment="1" applyProtection="1">
      <alignment horizontal="left"/>
      <protection hidden="1"/>
    </xf>
    <xf numFmtId="170" fontId="18" fillId="0" borderId="0" xfId="4" applyNumberFormat="1" applyFont="1" applyProtection="1">
      <protection hidden="1"/>
    </xf>
    <xf numFmtId="170" fontId="53" fillId="0" borderId="0" xfId="5" applyNumberFormat="1" applyFont="1" applyProtection="1">
      <protection locked="0"/>
    </xf>
    <xf numFmtId="49" fontId="18" fillId="7" borderId="14" xfId="4" applyNumberFormat="1" applyFont="1" applyFill="1" applyBorder="1" applyProtection="1">
      <protection locked="0"/>
    </xf>
    <xf numFmtId="15" fontId="18" fillId="7" borderId="15" xfId="4" applyNumberFormat="1" applyFont="1" applyFill="1" applyBorder="1" applyProtection="1">
      <protection locked="0"/>
    </xf>
    <xf numFmtId="179" fontId="53" fillId="0" borderId="0" xfId="1" applyNumberFormat="1" applyFont="1" applyProtection="1">
      <protection hidden="1"/>
    </xf>
    <xf numFmtId="179" fontId="53" fillId="0" borderId="0" xfId="1" applyNumberFormat="1" applyFont="1" applyAlignment="1">
      <alignment horizontal="center"/>
    </xf>
    <xf numFmtId="9" fontId="18" fillId="7" borderId="6" xfId="6" applyFont="1" applyFill="1" applyBorder="1" applyAlignment="1" applyProtection="1">
      <alignment horizontal="center"/>
      <protection locked="0"/>
    </xf>
    <xf numFmtId="0" fontId="18" fillId="7" borderId="2" xfId="0" applyFont="1" applyFill="1" applyBorder="1" applyProtection="1">
      <protection locked="0"/>
    </xf>
    <xf numFmtId="0" fontId="18" fillId="2" borderId="14" xfId="0" applyFont="1" applyFill="1" applyBorder="1" applyProtection="1">
      <protection hidden="1"/>
    </xf>
    <xf numFmtId="0" fontId="18" fillId="7" borderId="15" xfId="0" applyFont="1" applyFill="1" applyBorder="1" applyProtection="1">
      <protection locked="0"/>
    </xf>
    <xf numFmtId="0" fontId="41" fillId="6" borderId="4" xfId="4" applyFont="1" applyFill="1" applyBorder="1" applyProtection="1">
      <protection hidden="1"/>
    </xf>
    <xf numFmtId="171" fontId="17" fillId="0" borderId="6" xfId="6" applyNumberFormat="1" applyFont="1" applyBorder="1" applyAlignment="1" applyProtection="1">
      <alignment horizontal="center"/>
      <protection hidden="1"/>
    </xf>
    <xf numFmtId="170" fontId="18" fillId="0" borderId="6" xfId="3" applyNumberFormat="1" applyFont="1" applyBorder="1" applyAlignment="1" applyProtection="1">
      <alignment horizontal="left"/>
      <protection hidden="1"/>
    </xf>
    <xf numFmtId="170" fontId="17" fillId="0" borderId="17" xfId="3" applyNumberFormat="1" applyFont="1" applyBorder="1" applyAlignment="1" applyProtection="1">
      <alignment horizontal="center"/>
      <protection hidden="1"/>
    </xf>
    <xf numFmtId="0" fontId="18" fillId="0" borderId="1" xfId="4" applyFont="1" applyBorder="1" applyProtection="1">
      <protection hidden="1"/>
    </xf>
    <xf numFmtId="0" fontId="18" fillId="0" borderId="11" xfId="4" applyFont="1" applyBorder="1" applyProtection="1">
      <protection hidden="1"/>
    </xf>
    <xf numFmtId="0" fontId="17" fillId="0" borderId="7" xfId="4" applyFont="1" applyBorder="1" applyAlignment="1" applyProtection="1">
      <alignment horizontal="center" vertical="center"/>
      <protection hidden="1"/>
    </xf>
    <xf numFmtId="164" fontId="41" fillId="6" borderId="2" xfId="0" applyNumberFormat="1" applyFont="1" applyFill="1" applyBorder="1" applyAlignment="1" applyProtection="1">
      <alignment horizontal="center"/>
      <protection hidden="1"/>
    </xf>
    <xf numFmtId="0" fontId="18" fillId="7" borderId="14" xfId="0" applyFont="1" applyFill="1" applyBorder="1" applyAlignment="1" applyProtection="1">
      <alignment horizontal="center"/>
      <protection locked="0"/>
    </xf>
    <xf numFmtId="171" fontId="17" fillId="0" borderId="2" xfId="6" applyNumberFormat="1" applyFont="1" applyBorder="1" applyAlignment="1" applyProtection="1">
      <alignment horizontal="center"/>
      <protection hidden="1"/>
    </xf>
    <xf numFmtId="9" fontId="18" fillId="7" borderId="7" xfId="6" applyFont="1" applyFill="1" applyBorder="1" applyAlignment="1" applyProtection="1">
      <alignment horizontal="center"/>
      <protection locked="0"/>
    </xf>
    <xf numFmtId="2" fontId="18" fillId="0" borderId="7" xfId="0" applyNumberFormat="1" applyFont="1" applyBorder="1" applyAlignment="1">
      <alignment horizontal="center"/>
    </xf>
    <xf numFmtId="0" fontId="18" fillId="5" borderId="26" xfId="4" applyFont="1" applyFill="1" applyBorder="1" applyProtection="1">
      <protection hidden="1"/>
    </xf>
    <xf numFmtId="0" fontId="18" fillId="5" borderId="5" xfId="4" applyFont="1" applyFill="1" applyBorder="1" applyProtection="1">
      <protection hidden="1"/>
    </xf>
    <xf numFmtId="0" fontId="70" fillId="5" borderId="3" xfId="0" applyFont="1" applyFill="1" applyBorder="1" applyProtection="1">
      <protection hidden="1"/>
    </xf>
    <xf numFmtId="0" fontId="17" fillId="5" borderId="0" xfId="4" applyFont="1" applyFill="1" applyAlignment="1" applyProtection="1">
      <alignment horizontal="right" vertical="center"/>
      <protection hidden="1"/>
    </xf>
    <xf numFmtId="3" fontId="17" fillId="5" borderId="5" xfId="4" applyNumberFormat="1" applyFont="1" applyFill="1" applyBorder="1" applyAlignment="1" applyProtection="1">
      <alignment horizontal="center" vertical="center"/>
      <protection hidden="1"/>
    </xf>
    <xf numFmtId="0" fontId="18" fillId="5" borderId="34" xfId="4" applyFont="1" applyFill="1" applyBorder="1" applyProtection="1">
      <protection hidden="1"/>
    </xf>
    <xf numFmtId="0" fontId="18" fillId="5" borderId="43" xfId="4" applyFont="1" applyFill="1" applyBorder="1" applyProtection="1">
      <protection hidden="1"/>
    </xf>
    <xf numFmtId="0" fontId="18" fillId="5" borderId="48" xfId="4" applyFont="1" applyFill="1" applyBorder="1" applyProtection="1">
      <protection hidden="1"/>
    </xf>
    <xf numFmtId="0" fontId="17" fillId="5" borderId="46" xfId="5" applyFont="1" applyFill="1" applyBorder="1" applyProtection="1">
      <protection hidden="1"/>
    </xf>
    <xf numFmtId="169" fontId="17" fillId="5" borderId="47" xfId="3" applyNumberFormat="1" applyFont="1" applyFill="1" applyBorder="1" applyProtection="1">
      <protection hidden="1"/>
    </xf>
    <xf numFmtId="169" fontId="17" fillId="5" borderId="44" xfId="3" applyNumberFormat="1" applyFont="1" applyFill="1" applyBorder="1" applyProtection="1">
      <protection hidden="1"/>
    </xf>
    <xf numFmtId="170" fontId="17" fillId="5" borderId="45" xfId="3" applyNumberFormat="1" applyFont="1" applyFill="1" applyBorder="1" applyAlignment="1" applyProtection="1">
      <alignment horizontal="center"/>
      <protection hidden="1"/>
    </xf>
    <xf numFmtId="170" fontId="17" fillId="5" borderId="47" xfId="3" applyNumberFormat="1" applyFont="1" applyFill="1" applyBorder="1" applyAlignment="1" applyProtection="1">
      <alignment horizontal="center"/>
      <protection hidden="1"/>
    </xf>
    <xf numFmtId="170" fontId="17" fillId="5" borderId="42" xfId="4" applyNumberFormat="1" applyFont="1" applyFill="1" applyBorder="1" applyAlignment="1" applyProtection="1">
      <alignment horizontal="center"/>
      <protection hidden="1"/>
    </xf>
    <xf numFmtId="0" fontId="17" fillId="5" borderId="47" xfId="4" applyFont="1" applyFill="1" applyBorder="1" applyAlignment="1" applyProtection="1">
      <alignment horizontal="center"/>
      <protection hidden="1"/>
    </xf>
    <xf numFmtId="0" fontId="20" fillId="7" borderId="6" xfId="4" applyFont="1" applyFill="1" applyBorder="1" applyAlignment="1" applyProtection="1">
      <alignment horizontal="center"/>
      <protection locked="0"/>
    </xf>
    <xf numFmtId="0" fontId="18" fillId="0" borderId="0" xfId="4" applyFont="1" applyProtection="1">
      <protection locked="0"/>
    </xf>
    <xf numFmtId="0" fontId="53" fillId="0" borderId="0" xfId="5" applyFont="1" applyAlignment="1" applyProtection="1">
      <alignment horizontal="centerContinuous"/>
      <protection locked="0"/>
    </xf>
    <xf numFmtId="0" fontId="21" fillId="0" borderId="0" xfId="0" applyFont="1" applyProtection="1">
      <protection locked="0"/>
    </xf>
    <xf numFmtId="0" fontId="62" fillId="0" borderId="0" xfId="5" applyFont="1" applyProtection="1">
      <protection locked="0"/>
    </xf>
    <xf numFmtId="0" fontId="63" fillId="0" borderId="0" xfId="5" applyFont="1" applyAlignment="1" applyProtection="1">
      <alignment horizontal="centerContinuous"/>
      <protection locked="0"/>
    </xf>
    <xf numFmtId="167" fontId="63" fillId="0" borderId="0" xfId="5" applyNumberFormat="1" applyFont="1" applyAlignment="1" applyProtection="1">
      <alignment horizontal="center"/>
      <protection locked="0"/>
    </xf>
    <xf numFmtId="170" fontId="64" fillId="0" borderId="0" xfId="4" applyNumberFormat="1" applyFont="1" applyProtection="1">
      <protection locked="0"/>
    </xf>
    <xf numFmtId="0" fontId="18" fillId="7" borderId="11" xfId="4" applyFont="1" applyFill="1" applyBorder="1" applyProtection="1">
      <protection locked="0"/>
    </xf>
    <xf numFmtId="0" fontId="18" fillId="7" borderId="8" xfId="4" applyFont="1" applyFill="1" applyBorder="1" applyAlignment="1" applyProtection="1">
      <alignment horizontal="left"/>
      <protection locked="0"/>
    </xf>
    <xf numFmtId="0" fontId="18" fillId="7" borderId="9" xfId="4" applyFont="1" applyFill="1" applyBorder="1" applyAlignment="1" applyProtection="1">
      <alignment horizontal="left"/>
      <protection locked="0"/>
    </xf>
    <xf numFmtId="0" fontId="72" fillId="0" borderId="0" xfId="4" applyFont="1" applyAlignment="1" applyProtection="1">
      <alignment horizontal="center"/>
      <protection hidden="1"/>
    </xf>
    <xf numFmtId="49" fontId="53" fillId="0" borderId="0" xfId="4" applyNumberFormat="1" applyFont="1" applyAlignment="1" applyProtection="1">
      <alignment horizontal="left"/>
      <protection locked="0"/>
    </xf>
    <xf numFmtId="1" fontId="53" fillId="0" borderId="0" xfId="4" applyNumberFormat="1" applyFont="1" applyProtection="1">
      <protection locked="0"/>
    </xf>
    <xf numFmtId="0" fontId="66" fillId="0" borderId="0" xfId="4" applyFont="1" applyProtection="1">
      <protection locked="0"/>
    </xf>
    <xf numFmtId="0" fontId="68" fillId="0" borderId="0" xfId="4" applyFont="1" applyAlignment="1" applyProtection="1">
      <alignment horizontal="centerContinuous"/>
      <protection locked="0"/>
    </xf>
    <xf numFmtId="0" fontId="53" fillId="0" borderId="0" xfId="4" applyFont="1" applyAlignment="1" applyProtection="1">
      <alignment horizontal="centerContinuous"/>
      <protection locked="0"/>
    </xf>
    <xf numFmtId="0" fontId="69" fillId="0" borderId="0" xfId="4" applyFont="1" applyAlignment="1" applyProtection="1">
      <alignment horizontal="centerContinuous"/>
      <protection locked="0"/>
    </xf>
    <xf numFmtId="0" fontId="53" fillId="0" borderId="0" xfId="4" applyFont="1" applyAlignment="1" applyProtection="1">
      <alignment wrapText="1"/>
      <protection locked="0"/>
    </xf>
    <xf numFmtId="44" fontId="53" fillId="0" borderId="0" xfId="3" applyFont="1" applyProtection="1">
      <protection locked="0"/>
    </xf>
    <xf numFmtId="0" fontId="53" fillId="0" borderId="0" xfId="5" quotePrefix="1" applyFont="1" applyProtection="1">
      <protection locked="0"/>
    </xf>
    <xf numFmtId="174" fontId="53" fillId="0" borderId="0" xfId="4" applyNumberFormat="1" applyFont="1" applyAlignment="1" applyProtection="1">
      <alignment horizontal="left"/>
      <protection locked="0"/>
    </xf>
    <xf numFmtId="169" fontId="53" fillId="0" borderId="0" xfId="3" applyNumberFormat="1" applyFont="1" applyProtection="1">
      <protection locked="0"/>
    </xf>
    <xf numFmtId="0" fontId="53" fillId="0" borderId="49" xfId="4" applyFont="1" applyBorder="1" applyProtection="1">
      <protection locked="0"/>
    </xf>
    <xf numFmtId="3" fontId="53" fillId="0" borderId="0" xfId="4" applyNumberFormat="1" applyFont="1" applyProtection="1">
      <protection locked="0"/>
    </xf>
    <xf numFmtId="171" fontId="53" fillId="0" borderId="0" xfId="6" applyNumberFormat="1" applyFont="1" applyProtection="1">
      <protection locked="0"/>
    </xf>
    <xf numFmtId="1" fontId="53" fillId="0" borderId="0" xfId="0" applyNumberFormat="1" applyFont="1" applyProtection="1">
      <protection locked="0"/>
    </xf>
    <xf numFmtId="170" fontId="53" fillId="0" borderId="0" xfId="0" applyNumberFormat="1" applyFont="1" applyProtection="1">
      <protection locked="0"/>
    </xf>
    <xf numFmtId="0" fontId="53" fillId="0" borderId="0" xfId="0" applyFont="1" applyProtection="1">
      <protection locked="0"/>
    </xf>
    <xf numFmtId="170" fontId="53" fillId="0" borderId="0" xfId="6" applyNumberFormat="1" applyFont="1" applyProtection="1">
      <protection locked="0"/>
    </xf>
    <xf numFmtId="1" fontId="53" fillId="0" borderId="0" xfId="1" applyNumberFormat="1" applyFont="1" applyProtection="1">
      <protection locked="0"/>
    </xf>
    <xf numFmtId="9" fontId="53" fillId="0" borderId="0" xfId="6" applyFont="1" applyProtection="1">
      <protection locked="0"/>
    </xf>
    <xf numFmtId="0" fontId="52" fillId="0" borderId="21" xfId="4" applyFont="1" applyBorder="1" applyAlignment="1" applyProtection="1">
      <alignment vertical="center"/>
      <protection hidden="1"/>
    </xf>
    <xf numFmtId="0" fontId="52" fillId="0" borderId="4" xfId="4" applyFont="1" applyBorder="1" applyAlignment="1" applyProtection="1">
      <alignment horizontal="center" vertical="center"/>
      <protection hidden="1"/>
    </xf>
    <xf numFmtId="0" fontId="52" fillId="0" borderId="22" xfId="4" applyFont="1" applyBorder="1" applyAlignment="1" applyProtection="1">
      <alignment horizontal="center" vertical="center"/>
      <protection hidden="1"/>
    </xf>
    <xf numFmtId="0" fontId="53" fillId="0" borderId="3" xfId="4" applyFont="1" applyBorder="1" applyProtection="1">
      <protection hidden="1"/>
    </xf>
    <xf numFmtId="166" fontId="53" fillId="0" borderId="0" xfId="4" applyNumberFormat="1" applyFont="1" applyAlignment="1" applyProtection="1">
      <alignment horizontal="center"/>
      <protection hidden="1"/>
    </xf>
    <xf numFmtId="0" fontId="52" fillId="0" borderId="3" xfId="5" applyFont="1" applyBorder="1" applyProtection="1">
      <protection hidden="1"/>
    </xf>
    <xf numFmtId="166" fontId="52" fillId="0" borderId="0" xfId="5" applyNumberFormat="1" applyFont="1" applyAlignment="1" applyProtection="1">
      <alignment horizontal="center"/>
      <protection hidden="1"/>
    </xf>
    <xf numFmtId="0" fontId="53" fillId="0" borderId="5" xfId="5" applyFont="1" applyBorder="1" applyProtection="1">
      <protection hidden="1"/>
    </xf>
    <xf numFmtId="0" fontId="53" fillId="0" borderId="3" xfId="5" applyFont="1" applyBorder="1" applyAlignment="1" applyProtection="1">
      <alignment horizontal="left"/>
      <protection hidden="1"/>
    </xf>
    <xf numFmtId="166" fontId="53" fillId="0" borderId="0" xfId="5" applyNumberFormat="1" applyFont="1" applyAlignment="1" applyProtection="1">
      <alignment horizontal="center"/>
      <protection hidden="1"/>
    </xf>
    <xf numFmtId="0" fontId="53" fillId="0" borderId="5" xfId="5" applyFont="1" applyBorder="1" applyAlignment="1" applyProtection="1">
      <alignment horizontal="center"/>
      <protection hidden="1"/>
    </xf>
    <xf numFmtId="0" fontId="53" fillId="0" borderId="3" xfId="5" applyFont="1" applyBorder="1" applyAlignment="1" applyProtection="1">
      <alignment horizontal="center"/>
      <protection hidden="1"/>
    </xf>
    <xf numFmtId="0" fontId="53" fillId="0" borderId="0" xfId="5" applyFont="1" applyAlignment="1" applyProtection="1">
      <alignment horizontal="center"/>
      <protection hidden="1"/>
    </xf>
    <xf numFmtId="0" fontId="52" fillId="0" borderId="3" xfId="4" applyFont="1" applyBorder="1" applyProtection="1">
      <protection hidden="1"/>
    </xf>
    <xf numFmtId="0" fontId="52" fillId="0" borderId="0" xfId="4" applyFont="1" applyAlignment="1" applyProtection="1">
      <alignment horizontal="center"/>
      <protection hidden="1"/>
    </xf>
    <xf numFmtId="0" fontId="53" fillId="0" borderId="3" xfId="5" applyFont="1" applyBorder="1" applyProtection="1">
      <protection hidden="1"/>
    </xf>
    <xf numFmtId="15" fontId="53" fillId="7" borderId="0" xfId="5" applyNumberFormat="1" applyFont="1" applyFill="1" applyAlignment="1" applyProtection="1">
      <alignment horizontal="center"/>
      <protection locked="0"/>
    </xf>
    <xf numFmtId="0" fontId="62" fillId="0" borderId="5" xfId="5" applyFont="1" applyBorder="1" applyProtection="1">
      <protection hidden="1"/>
    </xf>
    <xf numFmtId="15" fontId="53" fillId="0" borderId="0" xfId="4" applyNumberFormat="1" applyFont="1" applyAlignment="1" applyProtection="1">
      <alignment horizontal="center"/>
      <protection hidden="1"/>
    </xf>
    <xf numFmtId="0" fontId="63" fillId="0" borderId="5" xfId="5" applyFont="1" applyBorder="1" applyAlignment="1" applyProtection="1">
      <alignment horizontal="center"/>
      <protection hidden="1"/>
    </xf>
    <xf numFmtId="14" fontId="63" fillId="0" borderId="3" xfId="5" applyNumberFormat="1" applyFont="1" applyBorder="1" applyAlignment="1" applyProtection="1">
      <alignment horizontal="left"/>
      <protection hidden="1"/>
    </xf>
    <xf numFmtId="37" fontId="63" fillId="0" borderId="5" xfId="5" applyNumberFormat="1" applyFont="1" applyBorder="1" applyAlignment="1" applyProtection="1">
      <alignment horizontal="center"/>
      <protection hidden="1"/>
    </xf>
    <xf numFmtId="0" fontId="53" fillId="0" borderId="5" xfId="4" applyFont="1" applyBorder="1" applyProtection="1">
      <protection hidden="1"/>
    </xf>
    <xf numFmtId="37" fontId="72" fillId="0" borderId="0" xfId="5" applyNumberFormat="1" applyFont="1" applyAlignment="1" applyProtection="1">
      <alignment horizontal="center"/>
      <protection hidden="1"/>
    </xf>
    <xf numFmtId="14" fontId="63" fillId="0" borderId="48" xfId="5" applyNumberFormat="1" applyFont="1" applyBorder="1" applyAlignment="1" applyProtection="1">
      <alignment horizontal="left"/>
      <protection hidden="1"/>
    </xf>
    <xf numFmtId="0" fontId="52" fillId="0" borderId="26" xfId="4" applyFont="1" applyBorder="1" applyAlignment="1" applyProtection="1">
      <alignment horizontal="center"/>
      <protection hidden="1"/>
    </xf>
    <xf numFmtId="0" fontId="53" fillId="0" borderId="26" xfId="4" applyFont="1" applyBorder="1" applyProtection="1">
      <protection hidden="1"/>
    </xf>
    <xf numFmtId="0" fontId="53" fillId="0" borderId="27" xfId="4" applyFont="1" applyBorder="1" applyProtection="1">
      <protection hidden="1"/>
    </xf>
    <xf numFmtId="49" fontId="18" fillId="7" borderId="6" xfId="6" applyNumberFormat="1" applyFont="1" applyFill="1" applyBorder="1" applyAlignment="1" applyProtection="1">
      <alignment horizontal="center" vertical="center"/>
      <protection locked="0"/>
    </xf>
    <xf numFmtId="9" fontId="18" fillId="7" borderId="18" xfId="6" applyFont="1" applyFill="1" applyBorder="1" applyAlignment="1" applyProtection="1">
      <alignment horizontal="center" vertical="center"/>
      <protection locked="0"/>
    </xf>
    <xf numFmtId="166" fontId="18" fillId="7" borderId="18" xfId="3" applyNumberFormat="1" applyFont="1" applyFill="1" applyBorder="1" applyAlignment="1" applyProtection="1">
      <alignment horizontal="center" vertical="center"/>
      <protection locked="0"/>
    </xf>
    <xf numFmtId="9" fontId="18" fillId="7" borderId="2" xfId="6" applyFont="1" applyFill="1" applyBorder="1" applyAlignment="1" applyProtection="1">
      <alignment horizontal="center" vertical="center"/>
      <protection locked="0"/>
    </xf>
    <xf numFmtId="0" fontId="17" fillId="0" borderId="2" xfId="4" applyFont="1" applyBorder="1" applyAlignment="1" applyProtection="1">
      <alignment horizontal="center"/>
      <protection hidden="1"/>
    </xf>
    <xf numFmtId="0" fontId="18" fillId="0" borderId="11" xfId="0" applyFont="1" applyBorder="1" applyAlignment="1" applyProtection="1">
      <alignment horizontal="center"/>
      <protection hidden="1"/>
    </xf>
    <xf numFmtId="9" fontId="18" fillId="7" borderId="7" xfId="6" applyFont="1" applyFill="1" applyBorder="1" applyAlignment="1" applyProtection="1">
      <alignment horizontal="center" vertical="center"/>
      <protection locked="0"/>
    </xf>
    <xf numFmtId="0" fontId="53" fillId="7" borderId="6" xfId="4" applyFont="1" applyFill="1" applyBorder="1" applyProtection="1">
      <protection locked="0"/>
    </xf>
    <xf numFmtId="170" fontId="19" fillId="5" borderId="8" xfId="3" applyNumberFormat="1" applyFont="1" applyFill="1" applyBorder="1" applyAlignment="1" applyProtection="1">
      <alignment horizontal="center"/>
      <protection hidden="1"/>
    </xf>
    <xf numFmtId="170" fontId="20" fillId="0" borderId="8" xfId="3" applyNumberFormat="1" applyFont="1" applyBorder="1" applyAlignment="1" applyProtection="1">
      <alignment horizontal="center"/>
      <protection hidden="1"/>
    </xf>
    <xf numFmtId="0" fontId="17" fillId="0" borderId="13" xfId="4" applyFont="1" applyBorder="1" applyAlignment="1" applyProtection="1">
      <alignment horizontal="center" vertical="center"/>
      <protection hidden="1"/>
    </xf>
    <xf numFmtId="0" fontId="53" fillId="0" borderId="0" xfId="4" applyFont="1" applyAlignment="1" applyProtection="1">
      <alignment horizontal="right"/>
      <protection hidden="1"/>
    </xf>
    <xf numFmtId="179" fontId="52" fillId="0" borderId="0" xfId="1" applyNumberFormat="1" applyFont="1" applyProtection="1">
      <protection hidden="1"/>
    </xf>
    <xf numFmtId="0" fontId="23" fillId="0" borderId="0" xfId="0" applyFont="1" applyProtection="1">
      <protection locked="0"/>
    </xf>
    <xf numFmtId="9" fontId="23" fillId="0" borderId="0" xfId="4" applyNumberFormat="1" applyFont="1" applyProtection="1">
      <protection locked="0"/>
    </xf>
    <xf numFmtId="9" fontId="23" fillId="0" borderId="0" xfId="4" applyNumberFormat="1" applyFont="1" applyAlignment="1" applyProtection="1">
      <alignment horizontal="left"/>
      <protection hidden="1"/>
    </xf>
    <xf numFmtId="9" fontId="23" fillId="0" borderId="0" xfId="0" applyNumberFormat="1" applyFont="1" applyAlignment="1" applyProtection="1">
      <alignment horizontal="left"/>
      <protection hidden="1"/>
    </xf>
    <xf numFmtId="0" fontId="61" fillId="0" borderId="0" xfId="4" applyFont="1" applyProtection="1">
      <protection hidden="1"/>
    </xf>
    <xf numFmtId="0" fontId="61" fillId="0" borderId="0" xfId="4" applyFont="1" applyAlignment="1" applyProtection="1">
      <alignment vertical="center"/>
      <protection hidden="1"/>
    </xf>
    <xf numFmtId="44" fontId="23" fillId="0" borderId="0" xfId="3" applyFont="1"/>
    <xf numFmtId="0" fontId="73" fillId="0" borderId="0" xfId="7" applyAlignment="1">
      <alignment vertical="center"/>
    </xf>
    <xf numFmtId="0" fontId="24" fillId="0" borderId="0" xfId="0" applyFont="1"/>
    <xf numFmtId="0" fontId="73" fillId="0" borderId="0" xfId="7"/>
    <xf numFmtId="44" fontId="24" fillId="0" borderId="0" xfId="3" applyFont="1"/>
    <xf numFmtId="0" fontId="74" fillId="0" borderId="0" xfId="0" applyFont="1"/>
    <xf numFmtId="44" fontId="74" fillId="0" borderId="0" xfId="3" applyFont="1"/>
    <xf numFmtId="0" fontId="55" fillId="0" borderId="0" xfId="0" applyFont="1"/>
    <xf numFmtId="44" fontId="55" fillId="0" borderId="0" xfId="3" applyFont="1"/>
    <xf numFmtId="0" fontId="74" fillId="0" borderId="21" xfId="0" applyFont="1" applyBorder="1"/>
    <xf numFmtId="44" fontId="55" fillId="0" borderId="22" xfId="3" applyFont="1" applyBorder="1"/>
    <xf numFmtId="0" fontId="23" fillId="0" borderId="3" xfId="0" applyFont="1" applyBorder="1"/>
    <xf numFmtId="0" fontId="23" fillId="0" borderId="5" xfId="0" applyFont="1" applyBorder="1"/>
    <xf numFmtId="44" fontId="24" fillId="0" borderId="5" xfId="3" applyFont="1" applyBorder="1"/>
    <xf numFmtId="8" fontId="24" fillId="0" borderId="27" xfId="3" applyNumberFormat="1" applyFont="1" applyBorder="1"/>
    <xf numFmtId="44" fontId="23" fillId="7" borderId="5" xfId="3" applyFont="1" applyFill="1" applyBorder="1" applyProtection="1">
      <protection locked="0"/>
    </xf>
    <xf numFmtId="44" fontId="23" fillId="7" borderId="0" xfId="3" applyFont="1" applyFill="1" applyProtection="1">
      <protection locked="0"/>
    </xf>
    <xf numFmtId="44" fontId="23" fillId="7" borderId="0" xfId="3" applyFont="1" applyFill="1" applyProtection="1"/>
    <xf numFmtId="0" fontId="23" fillId="0" borderId="0" xfId="0" applyFont="1" applyAlignment="1">
      <alignment horizontal="right"/>
    </xf>
    <xf numFmtId="0" fontId="0" fillId="0" borderId="0" xfId="0" applyAlignment="1">
      <alignment horizontal="right"/>
    </xf>
    <xf numFmtId="0" fontId="54" fillId="0" borderId="0" xfId="0" applyFont="1"/>
    <xf numFmtId="44" fontId="24" fillId="7" borderId="0" xfId="3" applyFont="1" applyFill="1" applyProtection="1">
      <protection locked="0"/>
    </xf>
    <xf numFmtId="169" fontId="24" fillId="7" borderId="0" xfId="3" applyNumberFormat="1" applyFont="1" applyFill="1" applyProtection="1">
      <protection locked="0"/>
    </xf>
    <xf numFmtId="0" fontId="23" fillId="7" borderId="0" xfId="0" applyFont="1" applyFill="1" applyAlignment="1" applyProtection="1">
      <alignment horizontal="right"/>
      <protection locked="0"/>
    </xf>
    <xf numFmtId="42" fontId="19" fillId="7" borderId="6" xfId="3" applyNumberFormat="1" applyFont="1" applyFill="1" applyBorder="1" applyAlignment="1" applyProtection="1">
      <alignment horizontal="center"/>
      <protection locked="0"/>
    </xf>
    <xf numFmtId="42" fontId="20" fillId="7" borderId="6" xfId="3" applyNumberFormat="1" applyFont="1" applyFill="1" applyBorder="1" applyAlignment="1" applyProtection="1">
      <alignment horizontal="center"/>
      <protection locked="0"/>
    </xf>
    <xf numFmtId="15" fontId="51" fillId="0" borderId="0" xfId="0" applyNumberFormat="1" applyFont="1"/>
    <xf numFmtId="0" fontId="23" fillId="0" borderId="0" xfId="4" applyFont="1" applyAlignment="1" applyProtection="1">
      <alignment horizontal="center"/>
      <protection hidden="1"/>
    </xf>
    <xf numFmtId="0" fontId="29" fillId="0" borderId="0" xfId="0" applyFont="1"/>
    <xf numFmtId="0" fontId="28" fillId="0" borderId="0" xfId="0" applyFont="1"/>
    <xf numFmtId="0" fontId="0" fillId="0" borderId="0" xfId="0" applyAlignment="1">
      <alignment wrapText="1"/>
    </xf>
    <xf numFmtId="0" fontId="27" fillId="0" borderId="0" xfId="0" applyFont="1" applyAlignment="1">
      <alignment wrapText="1"/>
    </xf>
    <xf numFmtId="0" fontId="27" fillId="0" borderId="0" xfId="0" applyFont="1"/>
    <xf numFmtId="2" fontId="0" fillId="0" borderId="0" xfId="0" applyNumberFormat="1" applyAlignment="1">
      <alignment horizontal="right"/>
    </xf>
    <xf numFmtId="0" fontId="29" fillId="0" borderId="0" xfId="0" applyFont="1" applyAlignment="1">
      <alignment horizontal="center"/>
    </xf>
    <xf numFmtId="0" fontId="15" fillId="0" borderId="0" xfId="0" applyFont="1" applyAlignment="1">
      <alignment wrapText="1"/>
    </xf>
    <xf numFmtId="0" fontId="30" fillId="0" borderId="0" xfId="0" applyFont="1"/>
    <xf numFmtId="0" fontId="15" fillId="0" borderId="0" xfId="0" applyFont="1" applyAlignment="1">
      <alignment horizontal="left"/>
    </xf>
    <xf numFmtId="0" fontId="31" fillId="5" borderId="19" xfId="0" applyFont="1" applyFill="1" applyBorder="1" applyAlignment="1">
      <alignment horizontal="left" vertical="center"/>
    </xf>
    <xf numFmtId="0" fontId="15" fillId="5" borderId="19" xfId="0" applyFont="1" applyFill="1" applyBorder="1" applyAlignment="1">
      <alignment horizontal="left"/>
    </xf>
    <xf numFmtId="3" fontId="0" fillId="0" borderId="0" xfId="0" applyNumberFormat="1"/>
    <xf numFmtId="166" fontId="27" fillId="0" borderId="0" xfId="0" applyNumberFormat="1" applyFont="1" applyAlignment="1">
      <alignment horizontal="center"/>
    </xf>
    <xf numFmtId="0" fontId="18" fillId="0" borderId="0" xfId="4" applyFont="1" applyAlignment="1" applyProtection="1">
      <alignment horizontal="center"/>
      <protection hidden="1"/>
    </xf>
    <xf numFmtId="0" fontId="18" fillId="5" borderId="6" xfId="4" applyFont="1" applyFill="1" applyBorder="1" applyProtection="1">
      <protection hidden="1"/>
    </xf>
    <xf numFmtId="0" fontId="18" fillId="5" borderId="6" xfId="4" applyFont="1" applyFill="1" applyBorder="1" applyAlignment="1" applyProtection="1">
      <alignment horizontal="center"/>
      <protection hidden="1"/>
    </xf>
    <xf numFmtId="0" fontId="17" fillId="0" borderId="6" xfId="4" applyFont="1" applyBorder="1" applyAlignment="1">
      <alignment horizontal="center"/>
    </xf>
    <xf numFmtId="0" fontId="18" fillId="0" borderId="18" xfId="4" applyFont="1" applyBorder="1" applyAlignment="1" applyProtection="1">
      <alignment horizontal="center" vertical="center"/>
      <protection hidden="1"/>
    </xf>
    <xf numFmtId="0" fontId="18" fillId="7" borderId="18" xfId="4" applyFont="1" applyFill="1" applyBorder="1" applyAlignment="1" applyProtection="1">
      <alignment horizontal="center" vertical="center"/>
      <protection locked="0"/>
    </xf>
    <xf numFmtId="166" fontId="17" fillId="7" borderId="2" xfId="3" applyNumberFormat="1" applyFont="1" applyFill="1" applyBorder="1" applyAlignment="1" applyProtection="1">
      <alignment horizontal="center" vertical="center"/>
      <protection locked="0"/>
    </xf>
    <xf numFmtId="14" fontId="63" fillId="0" borderId="0" xfId="5" applyNumberFormat="1" applyFont="1" applyAlignment="1" applyProtection="1">
      <alignment horizontal="left"/>
      <protection hidden="1"/>
    </xf>
    <xf numFmtId="168" fontId="23" fillId="0" borderId="0" xfId="0" applyNumberFormat="1" applyFont="1" applyAlignment="1">
      <alignment horizontal="center"/>
    </xf>
    <xf numFmtId="0" fontId="18" fillId="6" borderId="0" xfId="4" applyFont="1" applyFill="1" applyProtection="1">
      <protection hidden="1"/>
    </xf>
    <xf numFmtId="0" fontId="17" fillId="0" borderId="52" xfId="4" applyFont="1" applyBorder="1" applyAlignment="1" applyProtection="1">
      <alignment horizontal="center" vertical="center" wrapText="1"/>
      <protection hidden="1"/>
    </xf>
    <xf numFmtId="0" fontId="17" fillId="0" borderId="50" xfId="4" applyFont="1" applyBorder="1" applyAlignment="1" applyProtection="1">
      <alignment horizontal="center" vertical="center" wrapText="1"/>
      <protection hidden="1"/>
    </xf>
    <xf numFmtId="0" fontId="17" fillId="0" borderId="65" xfId="4" applyFont="1" applyBorder="1" applyAlignment="1" applyProtection="1">
      <alignment horizontal="center" vertical="center" wrapText="1"/>
      <protection hidden="1"/>
    </xf>
    <xf numFmtId="9" fontId="24" fillId="0" borderId="0" xfId="6" applyFont="1" applyAlignment="1" applyProtection="1">
      <alignment horizontal="center" vertical="center" wrapText="1"/>
      <protection hidden="1"/>
    </xf>
    <xf numFmtId="0" fontId="53" fillId="0" borderId="0" xfId="6" applyNumberFormat="1" applyFont="1" applyProtection="1">
      <protection hidden="1"/>
    </xf>
    <xf numFmtId="9" fontId="61" fillId="5" borderId="0" xfId="6" applyFont="1" applyFill="1" applyBorder="1" applyAlignment="1" applyProtection="1">
      <alignment horizontal="center"/>
      <protection locked="0"/>
    </xf>
    <xf numFmtId="49" fontId="61" fillId="5" borderId="0" xfId="4" applyNumberFormat="1" applyFont="1" applyFill="1" applyAlignment="1" applyProtection="1">
      <alignment horizontal="left"/>
      <protection locked="0"/>
    </xf>
    <xf numFmtId="166" fontId="56" fillId="5" borderId="0" xfId="3" applyNumberFormat="1" applyFont="1" applyFill="1" applyBorder="1" applyAlignment="1" applyProtection="1">
      <alignment horizontal="center"/>
      <protection locked="0"/>
    </xf>
    <xf numFmtId="164" fontId="56" fillId="5" borderId="0" xfId="4" applyNumberFormat="1" applyFont="1" applyFill="1" applyAlignment="1" applyProtection="1">
      <alignment horizontal="center"/>
      <protection locked="0"/>
    </xf>
    <xf numFmtId="8" fontId="53" fillId="0" borderId="0" xfId="4" applyNumberFormat="1" applyFont="1" applyProtection="1">
      <protection hidden="1"/>
    </xf>
    <xf numFmtId="166" fontId="24" fillId="0" borderId="0" xfId="0" applyNumberFormat="1" applyFont="1" applyAlignment="1" applyProtection="1">
      <alignment horizontal="center"/>
      <protection locked="0"/>
    </xf>
    <xf numFmtId="10" fontId="23" fillId="3" borderId="0" xfId="0" applyNumberFormat="1" applyFont="1" applyFill="1" applyAlignment="1" applyProtection="1">
      <alignment horizontal="center"/>
      <protection locked="0"/>
    </xf>
    <xf numFmtId="10" fontId="23" fillId="3" borderId="0" xfId="6" applyNumberFormat="1" applyFont="1" applyFill="1" applyAlignment="1" applyProtection="1">
      <alignment horizontal="center"/>
      <protection locked="0"/>
    </xf>
    <xf numFmtId="10" fontId="23" fillId="3" borderId="0" xfId="0" applyNumberFormat="1" applyFont="1" applyFill="1" applyAlignment="1" applyProtection="1">
      <alignment horizontal="center"/>
      <protection hidden="1"/>
    </xf>
    <xf numFmtId="10" fontId="53" fillId="0" borderId="0" xfId="4" applyNumberFormat="1" applyFont="1" applyAlignment="1" applyProtection="1">
      <alignment horizontal="centerContinuous"/>
      <protection locked="0"/>
    </xf>
    <xf numFmtId="0" fontId="17" fillId="7" borderId="6" xfId="4" applyFont="1" applyFill="1" applyBorder="1" applyAlignment="1" applyProtection="1">
      <alignment horizontal="center"/>
      <protection locked="0"/>
    </xf>
    <xf numFmtId="170" fontId="19" fillId="5" borderId="6" xfId="3" applyNumberFormat="1" applyFont="1" applyFill="1" applyBorder="1" applyAlignment="1" applyProtection="1">
      <alignment horizontal="center"/>
      <protection hidden="1"/>
    </xf>
    <xf numFmtId="166" fontId="17" fillId="7" borderId="6" xfId="862" applyNumberFormat="1" applyFont="1" applyFill="1" applyBorder="1" applyAlignment="1" applyProtection="1">
      <alignment horizontal="center"/>
      <protection locked="0"/>
    </xf>
    <xf numFmtId="5" fontId="19" fillId="7" borderId="2" xfId="4" applyNumberFormat="1" applyFont="1" applyFill="1" applyBorder="1" applyAlignment="1" applyProtection="1">
      <alignment horizontal="center"/>
      <protection locked="0"/>
    </xf>
    <xf numFmtId="168" fontId="17" fillId="7" borderId="6" xfId="862" applyNumberFormat="1" applyFont="1" applyFill="1" applyBorder="1" applyAlignment="1" applyProtection="1">
      <alignment horizontal="center"/>
      <protection locked="0"/>
    </xf>
    <xf numFmtId="10" fontId="17" fillId="0" borderId="6" xfId="6" applyNumberFormat="1" applyFont="1" applyBorder="1" applyAlignment="1" applyProtection="1">
      <alignment horizontal="center"/>
      <protection hidden="1"/>
    </xf>
    <xf numFmtId="0" fontId="53" fillId="0" borderId="0" xfId="4" applyFont="1" applyAlignment="1" applyProtection="1">
      <alignment horizontal="left" indent="1"/>
      <protection hidden="1"/>
    </xf>
    <xf numFmtId="1" fontId="18" fillId="0" borderId="0" xfId="4" applyNumberFormat="1" applyFont="1" applyProtection="1">
      <protection locked="0"/>
    </xf>
    <xf numFmtId="10" fontId="53" fillId="0" borderId="6" xfId="6" applyNumberFormat="1" applyFont="1" applyBorder="1" applyAlignment="1" applyProtection="1">
      <alignment horizontal="center"/>
      <protection hidden="1"/>
    </xf>
    <xf numFmtId="0" fontId="17" fillId="0" borderId="17" xfId="4" applyFont="1" applyBorder="1" applyAlignment="1" applyProtection="1">
      <alignment horizontal="center" vertical="center" wrapText="1"/>
      <protection hidden="1"/>
    </xf>
    <xf numFmtId="9" fontId="23" fillId="3" borderId="0" xfId="4" applyNumberFormat="1" applyFont="1" applyFill="1" applyProtection="1">
      <protection locked="0"/>
    </xf>
    <xf numFmtId="1" fontId="23" fillId="3" borderId="0" xfId="4" applyNumberFormat="1" applyFont="1" applyFill="1" applyProtection="1">
      <protection locked="0"/>
    </xf>
    <xf numFmtId="168" fontId="53" fillId="0" borderId="5" xfId="3" applyNumberFormat="1" applyFont="1" applyBorder="1" applyProtection="1">
      <protection hidden="1"/>
    </xf>
    <xf numFmtId="9" fontId="18" fillId="7" borderId="12" xfId="6" applyFont="1" applyFill="1" applyBorder="1" applyAlignment="1" applyProtection="1">
      <alignment horizontal="center"/>
      <protection locked="0"/>
    </xf>
    <xf numFmtId="171" fontId="17" fillId="0" borderId="14" xfId="6" applyNumberFormat="1" applyFont="1" applyBorder="1" applyAlignment="1" applyProtection="1">
      <alignment horizontal="center"/>
      <protection hidden="1"/>
    </xf>
    <xf numFmtId="0" fontId="90" fillId="6" borderId="0" xfId="4" applyFont="1" applyFill="1" applyAlignment="1" applyProtection="1">
      <alignment horizontal="center" vertical="center"/>
      <protection hidden="1"/>
    </xf>
    <xf numFmtId="9" fontId="53" fillId="0" borderId="0" xfId="4" applyNumberFormat="1" applyFont="1" applyProtection="1">
      <protection locked="0"/>
    </xf>
    <xf numFmtId="0" fontId="17" fillId="0" borderId="6" xfId="4" applyFont="1" applyBorder="1" applyProtection="1">
      <protection locked="0"/>
    </xf>
    <xf numFmtId="0" fontId="53" fillId="4" borderId="0" xfId="5" applyFont="1" applyFill="1" applyAlignment="1" applyProtection="1">
      <alignment horizontal="center"/>
      <protection hidden="1"/>
    </xf>
    <xf numFmtId="0" fontId="24" fillId="0" borderId="0" xfId="0" applyFont="1" applyAlignment="1">
      <alignment horizontal="left"/>
    </xf>
    <xf numFmtId="0" fontId="15" fillId="0" borderId="0" xfId="0" applyFont="1"/>
    <xf numFmtId="10" fontId="53" fillId="0" borderId="0" xfId="4" applyNumberFormat="1" applyFont="1" applyProtection="1">
      <protection locked="0"/>
    </xf>
    <xf numFmtId="6" fontId="53" fillId="0" borderId="0" xfId="4" applyNumberFormat="1" applyFont="1" applyProtection="1">
      <protection locked="0"/>
    </xf>
    <xf numFmtId="3" fontId="39" fillId="0" borderId="0" xfId="0" applyNumberFormat="1" applyFont="1"/>
    <xf numFmtId="0" fontId="23" fillId="0" borderId="0" xfId="0" applyFont="1" applyAlignment="1" applyProtection="1">
      <alignment horizontal="center"/>
      <protection hidden="1"/>
    </xf>
    <xf numFmtId="0" fontId="23" fillId="39" borderId="0" xfId="0" applyFont="1" applyFill="1" applyProtection="1">
      <protection hidden="1"/>
    </xf>
    <xf numFmtId="9" fontId="23" fillId="0" borderId="0" xfId="0" applyNumberFormat="1" applyFont="1" applyProtection="1">
      <protection hidden="1"/>
    </xf>
    <xf numFmtId="10" fontId="23" fillId="3" borderId="0" xfId="0" applyNumberFormat="1" applyFont="1" applyFill="1" applyProtection="1">
      <protection hidden="1"/>
    </xf>
    <xf numFmtId="10" fontId="23" fillId="0" borderId="0" xfId="4" applyNumberFormat="1" applyFont="1" applyAlignment="1" applyProtection="1">
      <alignment horizontal="center"/>
      <protection locked="0"/>
    </xf>
    <xf numFmtId="10" fontId="23" fillId="0" borderId="0" xfId="0" applyNumberFormat="1" applyFont="1" applyAlignment="1" applyProtection="1">
      <alignment horizontal="right"/>
      <protection locked="0"/>
    </xf>
    <xf numFmtId="0" fontId="18" fillId="7" borderId="6" xfId="3" applyNumberFormat="1" applyFont="1" applyFill="1" applyBorder="1" applyAlignment="1" applyProtection="1">
      <alignment horizontal="center"/>
    </xf>
    <xf numFmtId="44" fontId="53" fillId="0" borderId="0" xfId="3" applyFont="1" applyProtection="1">
      <protection hidden="1"/>
    </xf>
    <xf numFmtId="10" fontId="24" fillId="0" borderId="0" xfId="0" applyNumberFormat="1" applyFont="1" applyAlignment="1" applyProtection="1">
      <alignment horizontal="center"/>
      <protection locked="0"/>
    </xf>
    <xf numFmtId="10" fontId="23" fillId="0" borderId="0" xfId="6" applyNumberFormat="1" applyFont="1" applyFill="1" applyProtection="1">
      <protection hidden="1"/>
    </xf>
    <xf numFmtId="10" fontId="23" fillId="0" borderId="0" xfId="0" applyNumberFormat="1" applyFont="1" applyAlignment="1" applyProtection="1">
      <alignment horizontal="center"/>
      <protection locked="0"/>
    </xf>
    <xf numFmtId="10" fontId="23" fillId="0" borderId="0" xfId="4" applyNumberFormat="1" applyFont="1" applyAlignment="1">
      <alignment horizontal="center"/>
    </xf>
    <xf numFmtId="166" fontId="23" fillId="0" borderId="0" xfId="3" applyNumberFormat="1" applyFont="1" applyFill="1" applyProtection="1">
      <protection hidden="1"/>
    </xf>
    <xf numFmtId="166" fontId="23" fillId="3" borderId="0" xfId="3" applyNumberFormat="1" applyFont="1" applyFill="1" applyProtection="1">
      <protection locked="0"/>
    </xf>
    <xf numFmtId="166" fontId="23" fillId="3" borderId="0" xfId="0" applyNumberFormat="1" applyFont="1" applyFill="1" applyAlignment="1" applyProtection="1">
      <alignment horizontal="right"/>
      <protection locked="0"/>
    </xf>
    <xf numFmtId="166" fontId="23" fillId="3" borderId="0" xfId="4" applyNumberFormat="1" applyFont="1" applyFill="1" applyAlignment="1" applyProtection="1">
      <alignment horizontal="right"/>
      <protection locked="0"/>
    </xf>
    <xf numFmtId="168" fontId="23" fillId="3" borderId="0" xfId="0" applyNumberFormat="1" applyFont="1" applyFill="1" applyAlignment="1" applyProtection="1">
      <alignment horizontal="right"/>
      <protection locked="0"/>
    </xf>
    <xf numFmtId="10" fontId="23" fillId="3" borderId="0" xfId="0" applyNumberFormat="1" applyFont="1" applyFill="1" applyProtection="1">
      <protection locked="0"/>
    </xf>
    <xf numFmtId="1" fontId="91" fillId="7" borderId="6" xfId="4" applyNumberFormat="1" applyFont="1" applyFill="1" applyBorder="1" applyAlignment="1" applyProtection="1">
      <alignment horizontal="center"/>
      <protection locked="0"/>
    </xf>
    <xf numFmtId="0" fontId="18" fillId="40" borderId="0" xfId="0" applyFont="1" applyFill="1"/>
    <xf numFmtId="0" fontId="94" fillId="40" borderId="0" xfId="0" applyFont="1" applyFill="1" applyAlignment="1">
      <alignment horizontal="left"/>
    </xf>
    <xf numFmtId="0" fontId="18" fillId="0" borderId="0" xfId="0" applyFont="1"/>
    <xf numFmtId="0" fontId="61" fillId="0" borderId="0" xfId="0" applyFont="1"/>
    <xf numFmtId="0" fontId="61" fillId="0" borderId="0" xfId="0" applyFont="1" applyProtection="1">
      <protection hidden="1"/>
    </xf>
    <xf numFmtId="0" fontId="18" fillId="0" borderId="0" xfId="0" applyFont="1" applyProtection="1">
      <protection hidden="1"/>
    </xf>
    <xf numFmtId="0" fontId="61" fillId="5" borderId="0" xfId="0" applyFont="1" applyFill="1" applyProtection="1">
      <protection hidden="1"/>
    </xf>
    <xf numFmtId="8" fontId="61" fillId="5" borderId="0" xfId="0" applyNumberFormat="1" applyFont="1" applyFill="1" applyProtection="1">
      <protection hidden="1"/>
    </xf>
    <xf numFmtId="0" fontId="61" fillId="5" borderId="0" xfId="0" applyFont="1" applyFill="1"/>
    <xf numFmtId="0" fontId="95" fillId="0" borderId="0" xfId="0" applyFont="1" applyAlignment="1">
      <alignment vertical="top"/>
    </xf>
    <xf numFmtId="0" fontId="18" fillId="0" borderId="0" xfId="0" applyFont="1" applyAlignment="1">
      <alignment vertical="top"/>
    </xf>
    <xf numFmtId="0" fontId="98" fillId="0" borderId="0" xfId="0" applyFont="1"/>
    <xf numFmtId="0" fontId="18" fillId="0" borderId="0" xfId="0" applyFont="1" applyAlignment="1">
      <alignment vertical="top" wrapText="1"/>
    </xf>
    <xf numFmtId="0" fontId="18" fillId="5" borderId="4" xfId="0" applyFont="1" applyFill="1" applyBorder="1"/>
    <xf numFmtId="0" fontId="18" fillId="5" borderId="4" xfId="0" applyFont="1" applyFill="1" applyBorder="1" applyAlignment="1">
      <alignment wrapText="1"/>
    </xf>
    <xf numFmtId="0" fontId="18" fillId="5" borderId="22" xfId="0" applyFont="1" applyFill="1" applyBorder="1"/>
    <xf numFmtId="0" fontId="18" fillId="5" borderId="0" xfId="0" applyFont="1" applyFill="1"/>
    <xf numFmtId="0" fontId="99" fillId="5" borderId="0" xfId="7" applyFont="1" applyFill="1" applyBorder="1"/>
    <xf numFmtId="0" fontId="18" fillId="5" borderId="0" xfId="0" applyFont="1" applyFill="1" applyAlignment="1">
      <alignment wrapText="1"/>
    </xf>
    <xf numFmtId="0" fontId="18" fillId="5" borderId="5" xfId="0" applyFont="1" applyFill="1" applyBorder="1"/>
    <xf numFmtId="0" fontId="99" fillId="5" borderId="26" xfId="7" applyFont="1" applyFill="1" applyBorder="1"/>
    <xf numFmtId="0" fontId="18" fillId="5" borderId="26" xfId="0" applyFont="1" applyFill="1" applyBorder="1"/>
    <xf numFmtId="0" fontId="18" fillId="5" borderId="26" xfId="0" applyFont="1" applyFill="1" applyBorder="1" applyAlignment="1">
      <alignment wrapText="1"/>
    </xf>
    <xf numFmtId="0" fontId="18" fillId="5" borderId="27" xfId="0" applyFont="1" applyFill="1" applyBorder="1"/>
    <xf numFmtId="0" fontId="99" fillId="5" borderId="0" xfId="7" applyFont="1" applyFill="1" applyBorder="1" applyAlignment="1">
      <alignment vertical="center"/>
    </xf>
    <xf numFmtId="0" fontId="18" fillId="0" borderId="0" xfId="0" applyFont="1" applyAlignment="1">
      <alignment horizontal="left"/>
    </xf>
    <xf numFmtId="0" fontId="18" fillId="40" borderId="0" xfId="0" applyFont="1" applyFill="1" applyAlignment="1">
      <alignment horizontal="left"/>
    </xf>
    <xf numFmtId="0" fontId="95" fillId="0" borderId="0" xfId="0" applyFont="1" applyAlignment="1">
      <alignment horizontal="left" vertical="top"/>
    </xf>
    <xf numFmtId="0" fontId="18" fillId="0" borderId="0" xfId="0" applyFont="1" applyAlignment="1">
      <alignment horizontal="left" vertical="top"/>
    </xf>
    <xf numFmtId="6" fontId="18" fillId="0" borderId="0" xfId="0" applyNumberFormat="1" applyFont="1" applyAlignment="1">
      <alignment horizontal="left" vertical="top"/>
    </xf>
    <xf numFmtId="0" fontId="95" fillId="0" borderId="0" xfId="0" applyFont="1" applyAlignment="1">
      <alignment vertical="top" wrapText="1"/>
    </xf>
    <xf numFmtId="0" fontId="100" fillId="0" borderId="6" xfId="4" applyFont="1" applyBorder="1" applyAlignment="1" applyProtection="1">
      <alignment horizontal="center" vertical="center" wrapText="1"/>
      <protection hidden="1"/>
    </xf>
    <xf numFmtId="0" fontId="100" fillId="0" borderId="2" xfId="4" applyFont="1" applyBorder="1" applyAlignment="1" applyProtection="1">
      <alignment horizontal="center" vertical="center" wrapText="1"/>
      <protection hidden="1"/>
    </xf>
    <xf numFmtId="0" fontId="100" fillId="0" borderId="8" xfId="4" applyFont="1" applyBorder="1" applyAlignment="1" applyProtection="1">
      <alignment horizontal="left" vertical="center" wrapText="1"/>
      <protection hidden="1"/>
    </xf>
    <xf numFmtId="0" fontId="100" fillId="0" borderId="8" xfId="4" applyFont="1" applyBorder="1" applyProtection="1">
      <protection hidden="1"/>
    </xf>
    <xf numFmtId="0" fontId="100" fillId="0" borderId="13" xfId="4" applyFont="1" applyBorder="1" applyProtection="1">
      <protection hidden="1"/>
    </xf>
    <xf numFmtId="0" fontId="100" fillId="0" borderId="1" xfId="4" applyFont="1" applyBorder="1" applyProtection="1">
      <protection hidden="1"/>
    </xf>
    <xf numFmtId="0" fontId="33" fillId="0" borderId="0" xfId="0" applyFont="1"/>
    <xf numFmtId="0" fontId="33" fillId="0" borderId="26" xfId="0" applyFont="1" applyBorder="1"/>
    <xf numFmtId="0" fontId="23" fillId="3" borderId="0" xfId="5" applyFont="1" applyFill="1" applyAlignment="1" applyProtection="1">
      <alignment horizontal="left"/>
      <protection locked="0" hidden="1"/>
    </xf>
    <xf numFmtId="10" fontId="18" fillId="0" borderId="6" xfId="6" applyNumberFormat="1" applyFont="1" applyBorder="1" applyAlignment="1" applyProtection="1">
      <alignment horizontal="center"/>
      <protection hidden="1"/>
    </xf>
    <xf numFmtId="10" fontId="17" fillId="7" borderId="23" xfId="6" applyNumberFormat="1" applyFont="1" applyFill="1" applyBorder="1" applyAlignment="1" applyProtection="1">
      <alignment horizontal="center"/>
      <protection locked="0"/>
    </xf>
    <xf numFmtId="0" fontId="41" fillId="6" borderId="28" xfId="4" applyFont="1" applyFill="1" applyBorder="1" applyAlignment="1" applyProtection="1">
      <alignment horizontal="left" vertical="center"/>
      <protection hidden="1"/>
    </xf>
    <xf numFmtId="49" fontId="18" fillId="7" borderId="50" xfId="4" applyNumberFormat="1" applyFont="1" applyFill="1" applyBorder="1" applyProtection="1">
      <protection locked="0"/>
    </xf>
    <xf numFmtId="15" fontId="18" fillId="7" borderId="65" xfId="4" applyNumberFormat="1" applyFont="1" applyFill="1" applyBorder="1" applyProtection="1">
      <protection locked="0"/>
    </xf>
    <xf numFmtId="0" fontId="18" fillId="5" borderId="3" xfId="4" applyFont="1" applyFill="1" applyBorder="1" applyAlignment="1" applyProtection="1">
      <alignment horizontal="left"/>
      <protection hidden="1"/>
    </xf>
    <xf numFmtId="169" fontId="17" fillId="7" borderId="6" xfId="3" applyNumberFormat="1" applyFont="1" applyFill="1" applyBorder="1" applyAlignment="1" applyProtection="1">
      <alignment horizontal="center"/>
      <protection locked="0"/>
    </xf>
    <xf numFmtId="169" fontId="17" fillId="7" borderId="11" xfId="3" applyNumberFormat="1" applyFont="1" applyFill="1" applyBorder="1" applyAlignment="1" applyProtection="1">
      <alignment horizontal="center"/>
      <protection locked="0"/>
    </xf>
    <xf numFmtId="0" fontId="23" fillId="3" borderId="0" xfId="0" applyFont="1" applyFill="1" applyProtection="1">
      <protection locked="0" hidden="1"/>
    </xf>
    <xf numFmtId="10" fontId="23" fillId="7" borderId="0" xfId="4" applyNumberFormat="1" applyFont="1" applyFill="1" applyAlignment="1" applyProtection="1">
      <alignment horizontal="center"/>
      <protection locked="0"/>
    </xf>
    <xf numFmtId="44" fontId="18" fillId="0" borderId="0" xfId="3" applyFont="1"/>
    <xf numFmtId="0" fontId="18" fillId="7" borderId="11" xfId="4" applyFont="1" applyFill="1" applyBorder="1" applyAlignment="1" applyProtection="1">
      <alignment horizontal="left"/>
      <protection locked="0"/>
    </xf>
    <xf numFmtId="0" fontId="95" fillId="0" borderId="21" xfId="0" applyFont="1" applyBorder="1" applyProtection="1">
      <protection hidden="1"/>
    </xf>
    <xf numFmtId="0" fontId="18" fillId="0" borderId="22" xfId="0" applyFont="1" applyBorder="1" applyProtection="1">
      <protection hidden="1"/>
    </xf>
    <xf numFmtId="0" fontId="18" fillId="0" borderId="5" xfId="0" applyFont="1" applyBorder="1" applyProtection="1">
      <protection hidden="1"/>
    </xf>
    <xf numFmtId="0" fontId="18" fillId="0" borderId="3" xfId="0" applyFont="1" applyBorder="1" applyProtection="1">
      <protection hidden="1"/>
    </xf>
    <xf numFmtId="0" fontId="18" fillId="0" borderId="48" xfId="0" applyFont="1" applyBorder="1" applyProtection="1">
      <protection hidden="1"/>
    </xf>
    <xf numFmtId="0" fontId="97" fillId="0" borderId="0" xfId="0" applyFont="1" applyProtection="1">
      <protection hidden="1"/>
    </xf>
    <xf numFmtId="180" fontId="93" fillId="0" borderId="0" xfId="1690" applyNumberFormat="1" applyFont="1" applyFill="1" applyBorder="1" applyProtection="1">
      <protection hidden="1"/>
    </xf>
    <xf numFmtId="0" fontId="18" fillId="0" borderId="4" xfId="0" applyFont="1" applyBorder="1" applyProtection="1">
      <protection hidden="1"/>
    </xf>
    <xf numFmtId="180" fontId="95" fillId="0" borderId="26" xfId="1690" applyNumberFormat="1" applyFont="1" applyFill="1" applyBorder="1" applyProtection="1">
      <protection hidden="1"/>
    </xf>
    <xf numFmtId="0" fontId="18" fillId="0" borderId="27" xfId="0" applyFont="1" applyBorder="1" applyProtection="1">
      <protection hidden="1"/>
    </xf>
    <xf numFmtId="181" fontId="93" fillId="7" borderId="26" xfId="1690" applyNumberFormat="1" applyFont="1" applyFill="1" applyBorder="1" applyProtection="1">
      <protection locked="0" hidden="1"/>
    </xf>
    <xf numFmtId="0" fontId="93" fillId="7" borderId="27" xfId="1690" applyFont="1" applyFill="1" applyBorder="1" applyProtection="1">
      <protection locked="0" hidden="1"/>
    </xf>
    <xf numFmtId="181" fontId="18" fillId="0" borderId="0" xfId="3" applyNumberFormat="1" applyFont="1" applyFill="1" applyBorder="1" applyProtection="1">
      <protection hidden="1"/>
    </xf>
    <xf numFmtId="44" fontId="17" fillId="0" borderId="5" xfId="3" applyFont="1" applyFill="1" applyBorder="1" applyProtection="1">
      <protection hidden="1"/>
    </xf>
    <xf numFmtId="0" fontId="96" fillId="0" borderId="4" xfId="1688" applyFont="1" applyBorder="1" applyProtection="1">
      <protection hidden="1"/>
    </xf>
    <xf numFmtId="0" fontId="18" fillId="0" borderId="26" xfId="0" applyFont="1" applyBorder="1"/>
    <xf numFmtId="0" fontId="93" fillId="7" borderId="0" xfId="1690" applyFont="1" applyFill="1" applyBorder="1" applyProtection="1">
      <protection locked="0" hidden="1"/>
    </xf>
    <xf numFmtId="0" fontId="95" fillId="0" borderId="3" xfId="0" applyFont="1" applyBorder="1" applyProtection="1">
      <protection hidden="1"/>
    </xf>
    <xf numFmtId="0" fontId="97" fillId="0" borderId="5" xfId="0" applyFont="1" applyBorder="1" applyProtection="1">
      <protection hidden="1"/>
    </xf>
    <xf numFmtId="180" fontId="18" fillId="0" borderId="0" xfId="1690" applyNumberFormat="1" applyFont="1" applyFill="1" applyBorder="1" applyProtection="1">
      <protection hidden="1"/>
    </xf>
    <xf numFmtId="168" fontId="18" fillId="0" borderId="0" xfId="0" applyNumberFormat="1" applyFont="1" applyProtection="1">
      <protection hidden="1"/>
    </xf>
    <xf numFmtId="0" fontId="18" fillId="0" borderId="26" xfId="0" applyFont="1" applyBorder="1" applyProtection="1">
      <protection hidden="1"/>
    </xf>
    <xf numFmtId="180" fontId="95" fillId="0" borderId="5" xfId="1690" applyNumberFormat="1" applyFont="1" applyFill="1" applyBorder="1" applyProtection="1">
      <protection hidden="1"/>
    </xf>
    <xf numFmtId="0" fontId="18" fillId="7" borderId="0" xfId="0" applyFont="1" applyFill="1" applyProtection="1">
      <protection locked="0" hidden="1"/>
    </xf>
    <xf numFmtId="168" fontId="95" fillId="0" borderId="0" xfId="1690" applyNumberFormat="1" applyFont="1" applyFill="1" applyBorder="1" applyProtection="1">
      <protection hidden="1"/>
    </xf>
    <xf numFmtId="168" fontId="17" fillId="0" borderId="0" xfId="1690" applyNumberFormat="1" applyFont="1" applyFill="1" applyBorder="1" applyProtection="1">
      <protection hidden="1"/>
    </xf>
    <xf numFmtId="0" fontId="56" fillId="40" borderId="0" xfId="0" applyFont="1" applyFill="1"/>
    <xf numFmtId="0" fontId="18" fillId="0" borderId="21" xfId="0" applyFont="1" applyBorder="1" applyProtection="1">
      <protection hidden="1"/>
    </xf>
    <xf numFmtId="171" fontId="23" fillId="3" borderId="0" xfId="6" applyNumberFormat="1" applyFont="1" applyFill="1" applyAlignment="1" applyProtection="1">
      <alignment horizontal="left"/>
      <protection locked="0"/>
    </xf>
    <xf numFmtId="0" fontId="17" fillId="0" borderId="21" xfId="0" applyFont="1" applyBorder="1" applyProtection="1">
      <protection hidden="1"/>
    </xf>
    <xf numFmtId="0" fontId="18" fillId="0" borderId="22" xfId="0" applyFont="1" applyBorder="1" applyAlignment="1" applyProtection="1">
      <alignment horizontal="left"/>
      <protection hidden="1"/>
    </xf>
    <xf numFmtId="0" fontId="18" fillId="0" borderId="5" xfId="0" applyFont="1" applyBorder="1" applyAlignment="1" applyProtection="1">
      <alignment horizontal="left"/>
      <protection hidden="1"/>
    </xf>
    <xf numFmtId="166" fontId="17" fillId="0" borderId="5" xfId="3" applyNumberFormat="1" applyFont="1" applyBorder="1" applyAlignment="1" applyProtection="1">
      <alignment horizontal="left"/>
      <protection hidden="1"/>
    </xf>
    <xf numFmtId="171" fontId="17" fillId="0" borderId="5" xfId="6" applyNumberFormat="1" applyFont="1" applyBorder="1" applyAlignment="1" applyProtection="1">
      <alignment horizontal="left"/>
      <protection hidden="1"/>
    </xf>
    <xf numFmtId="0" fontId="18" fillId="0" borderId="27" xfId="0" applyFont="1" applyBorder="1" applyAlignment="1" applyProtection="1">
      <alignment horizontal="left"/>
      <protection hidden="1"/>
    </xf>
    <xf numFmtId="171" fontId="20" fillId="7" borderId="6" xfId="6" applyNumberFormat="1" applyFont="1" applyFill="1" applyBorder="1" applyAlignment="1" applyProtection="1">
      <alignment horizontal="center"/>
      <protection locked="0" hidden="1"/>
    </xf>
    <xf numFmtId="171" fontId="23" fillId="0" borderId="0" xfId="0" applyNumberFormat="1" applyFont="1" applyProtection="1">
      <protection hidden="1"/>
    </xf>
    <xf numFmtId="9" fontId="17" fillId="4" borderId="1" xfId="4" applyNumberFormat="1" applyFont="1" applyFill="1" applyBorder="1" applyAlignment="1" applyProtection="1">
      <alignment horizontal="center"/>
      <protection locked="0" hidden="1"/>
    </xf>
    <xf numFmtId="0" fontId="23" fillId="0" borderId="22" xfId="0" applyFont="1" applyBorder="1"/>
    <xf numFmtId="15" fontId="23" fillId="7" borderId="5" xfId="0" applyNumberFormat="1" applyFont="1" applyFill="1" applyBorder="1" applyProtection="1">
      <protection locked="0"/>
    </xf>
    <xf numFmtId="15" fontId="24" fillId="0" borderId="5" xfId="0" applyNumberFormat="1" applyFont="1" applyBorder="1"/>
    <xf numFmtId="15" fontId="24" fillId="0" borderId="27" xfId="0" applyNumberFormat="1" applyFont="1" applyBorder="1"/>
    <xf numFmtId="1" fontId="23" fillId="7" borderId="5" xfId="0" applyNumberFormat="1" applyFont="1" applyFill="1" applyBorder="1" applyProtection="1">
      <protection locked="0"/>
    </xf>
    <xf numFmtId="0" fontId="24" fillId="0" borderId="3" xfId="0" applyFont="1" applyBorder="1"/>
    <xf numFmtId="0" fontId="24" fillId="0" borderId="48" xfId="0" applyFont="1" applyBorder="1"/>
    <xf numFmtId="49" fontId="18" fillId="7" borderId="6" xfId="6" applyNumberFormat="1" applyFont="1" applyFill="1" applyBorder="1" applyAlignment="1" applyProtection="1">
      <alignment horizontal="center"/>
      <protection locked="0"/>
    </xf>
    <xf numFmtId="10" fontId="18" fillId="7" borderId="18" xfId="6" applyNumberFormat="1" applyFont="1" applyFill="1" applyBorder="1" applyAlignment="1" applyProtection="1">
      <alignment horizontal="center"/>
      <protection locked="0"/>
    </xf>
    <xf numFmtId="9" fontId="18" fillId="7" borderId="2" xfId="6" applyFont="1" applyFill="1" applyBorder="1" applyAlignment="1" applyProtection="1">
      <alignment horizontal="center"/>
      <protection locked="0"/>
    </xf>
    <xf numFmtId="168" fontId="18" fillId="7" borderId="0" xfId="1690" applyNumberFormat="1" applyFont="1" applyFill="1" applyBorder="1" applyProtection="1">
      <protection locked="0"/>
    </xf>
    <xf numFmtId="10" fontId="23" fillId="0" borderId="0" xfId="6" applyNumberFormat="1" applyFont="1" applyFill="1" applyAlignment="1" applyProtection="1">
      <alignment horizontal="right"/>
      <protection hidden="1"/>
    </xf>
    <xf numFmtId="166" fontId="23" fillId="0" borderId="0" xfId="3" applyNumberFormat="1" applyFont="1" applyProtection="1">
      <protection hidden="1"/>
    </xf>
    <xf numFmtId="0" fontId="41" fillId="6" borderId="29" xfId="4" applyFont="1" applyFill="1" applyBorder="1" applyAlignment="1" applyProtection="1">
      <alignment horizontal="center" vertical="center"/>
      <protection hidden="1"/>
    </xf>
    <xf numFmtId="0" fontId="41" fillId="6" borderId="30" xfId="4" applyFont="1" applyFill="1" applyBorder="1" applyAlignment="1" applyProtection="1">
      <alignment horizontal="center" vertical="center"/>
      <protection hidden="1"/>
    </xf>
    <xf numFmtId="0" fontId="41" fillId="6" borderId="43" xfId="4" applyFont="1" applyFill="1" applyBorder="1" applyAlignment="1" applyProtection="1">
      <alignment horizontal="center" vertical="center"/>
      <protection hidden="1"/>
    </xf>
    <xf numFmtId="0" fontId="41" fillId="6" borderId="25" xfId="4" applyFont="1" applyFill="1" applyBorder="1" applyAlignment="1" applyProtection="1">
      <alignment horizontal="center" vertical="center"/>
      <protection hidden="1"/>
    </xf>
    <xf numFmtId="0" fontId="41" fillId="6" borderId="37" xfId="4" applyFont="1" applyFill="1" applyBorder="1" applyAlignment="1" applyProtection="1">
      <alignment horizontal="center" vertical="center"/>
      <protection hidden="1"/>
    </xf>
    <xf numFmtId="0" fontId="53" fillId="0" borderId="0" xfId="4" applyFont="1" applyAlignment="1" applyProtection="1">
      <alignment horizontal="left" indent="1"/>
      <protection locked="0"/>
    </xf>
    <xf numFmtId="164" fontId="88" fillId="6" borderId="0" xfId="0" applyNumberFormat="1" applyFont="1" applyFill="1" applyAlignment="1" applyProtection="1">
      <alignment horizontal="center"/>
      <protection hidden="1"/>
    </xf>
    <xf numFmtId="170" fontId="17" fillId="0" borderId="11" xfId="3" applyNumberFormat="1" applyFont="1" applyBorder="1" applyAlignment="1" applyProtection="1">
      <alignment horizontal="center"/>
      <protection hidden="1"/>
    </xf>
    <xf numFmtId="0" fontId="18" fillId="0" borderId="6" xfId="4" applyFont="1" applyBorder="1" applyAlignment="1" applyProtection="1">
      <alignment horizontal="center"/>
      <protection hidden="1"/>
    </xf>
    <xf numFmtId="0" fontId="17" fillId="0" borderId="6" xfId="4" applyFont="1" applyBorder="1" applyAlignment="1" applyProtection="1">
      <alignment horizontal="center" vertical="center" wrapText="1"/>
      <protection hidden="1"/>
    </xf>
    <xf numFmtId="0" fontId="46" fillId="0" borderId="0" xfId="0" applyFont="1" applyAlignment="1">
      <alignment horizontal="left" vertical="center"/>
    </xf>
    <xf numFmtId="0" fontId="48" fillId="0" borderId="0" xfId="0" applyFont="1" applyAlignment="1">
      <alignment horizontal="center" vertical="top"/>
    </xf>
    <xf numFmtId="0" fontId="23" fillId="3" borderId="0" xfId="0" applyFont="1" applyFill="1" applyAlignment="1" applyProtection="1">
      <alignment horizontal="left"/>
      <protection hidden="1"/>
    </xf>
    <xf numFmtId="15" fontId="53" fillId="7" borderId="0" xfId="4" applyNumberFormat="1" applyFont="1" applyFill="1" applyAlignment="1" applyProtection="1">
      <alignment horizontal="center"/>
      <protection locked="0"/>
    </xf>
    <xf numFmtId="0" fontId="29" fillId="0" borderId="21" xfId="0" applyFont="1" applyBorder="1"/>
    <xf numFmtId="169" fontId="0" fillId="0" borderId="22" xfId="3" applyNumberFormat="1" applyFont="1" applyBorder="1"/>
    <xf numFmtId="0" fontId="15" fillId="0" borderId="3" xfId="0" applyFont="1" applyBorder="1"/>
    <xf numFmtId="169" fontId="15" fillId="7" borderId="5" xfId="3" applyNumberFormat="1" applyFont="1" applyFill="1" applyBorder="1" applyProtection="1">
      <protection locked="0"/>
    </xf>
    <xf numFmtId="169" fontId="0" fillId="7" borderId="5" xfId="3" applyNumberFormat="1" applyFont="1" applyFill="1" applyBorder="1" applyProtection="1">
      <protection locked="0"/>
    </xf>
    <xf numFmtId="169" fontId="0" fillId="0" borderId="5" xfId="3" applyNumberFormat="1" applyFont="1" applyFill="1" applyBorder="1" applyProtection="1"/>
    <xf numFmtId="174" fontId="0" fillId="7" borderId="5" xfId="3" applyNumberFormat="1" applyFont="1" applyFill="1" applyBorder="1" applyProtection="1">
      <protection locked="0"/>
    </xf>
    <xf numFmtId="169" fontId="0" fillId="0" borderId="36" xfId="3" applyNumberFormat="1" applyFont="1" applyBorder="1" applyProtection="1"/>
    <xf numFmtId="0" fontId="29" fillId="0" borderId="3" xfId="0" applyFont="1" applyBorder="1"/>
    <xf numFmtId="169" fontId="29" fillId="0" borderId="41" xfId="3" applyNumberFormat="1" applyFont="1" applyBorder="1" applyProtection="1"/>
    <xf numFmtId="169" fontId="29" fillId="0" borderId="5" xfId="3" applyNumberFormat="1" applyFont="1" applyBorder="1" applyProtection="1"/>
    <xf numFmtId="169" fontId="0" fillId="0" borderId="5" xfId="3" applyNumberFormat="1" applyFont="1" applyBorder="1" applyProtection="1"/>
    <xf numFmtId="0" fontId="15" fillId="0" borderId="48" xfId="0" applyFont="1" applyBorder="1"/>
    <xf numFmtId="174" fontId="0" fillId="0" borderId="5" xfId="3" applyNumberFormat="1" applyFont="1" applyBorder="1" applyProtection="1"/>
    <xf numFmtId="0" fontId="0" fillId="0" borderId="22" xfId="0" applyBorder="1"/>
    <xf numFmtId="10" fontId="0" fillId="7" borderId="5" xfId="6" applyNumberFormat="1" applyFont="1" applyFill="1" applyBorder="1" applyProtection="1">
      <protection locked="0"/>
    </xf>
    <xf numFmtId="1" fontId="0" fillId="7" borderId="5" xfId="6" applyNumberFormat="1" applyFont="1" applyFill="1" applyBorder="1" applyProtection="1">
      <protection locked="0"/>
    </xf>
    <xf numFmtId="10" fontId="0" fillId="7" borderId="5" xfId="0" applyNumberFormat="1" applyFill="1" applyBorder="1" applyProtection="1">
      <protection locked="0"/>
    </xf>
    <xf numFmtId="0" fontId="0" fillId="0" borderId="3" xfId="0" applyBorder="1"/>
    <xf numFmtId="0" fontId="0" fillId="0" borderId="5" xfId="0" applyBorder="1"/>
    <xf numFmtId="169" fontId="0" fillId="7" borderId="27" xfId="3" applyNumberFormat="1" applyFont="1" applyFill="1" applyBorder="1" applyProtection="1">
      <protection locked="0"/>
    </xf>
    <xf numFmtId="10" fontId="29" fillId="0" borderId="27" xfId="6" applyNumberFormat="1" applyFont="1" applyBorder="1" applyProtection="1"/>
    <xf numFmtId="0" fontId="31" fillId="0" borderId="35" xfId="0" applyFont="1" applyBorder="1" applyAlignment="1">
      <alignment horizontal="left" vertical="center"/>
    </xf>
    <xf numFmtId="0" fontId="31" fillId="5" borderId="35" xfId="0" applyFont="1" applyFill="1" applyBorder="1" applyAlignment="1">
      <alignment horizontal="left" vertical="center"/>
    </xf>
    <xf numFmtId="0" fontId="15" fillId="5" borderId="35" xfId="0" applyFont="1" applyFill="1" applyBorder="1" applyAlignment="1">
      <alignment horizontal="left"/>
    </xf>
    <xf numFmtId="166" fontId="31" fillId="0" borderId="0" xfId="0" applyNumberFormat="1" applyFont="1" applyAlignment="1">
      <alignment horizontal="left"/>
    </xf>
    <xf numFmtId="10" fontId="23" fillId="41" borderId="0" xfId="0" applyNumberFormat="1" applyFont="1" applyFill="1" applyAlignment="1" applyProtection="1">
      <alignment horizontal="center"/>
      <protection hidden="1"/>
    </xf>
    <xf numFmtId="0" fontId="91" fillId="0" borderId="6" xfId="4" applyFont="1" applyBorder="1" applyAlignment="1" applyProtection="1">
      <alignment horizontal="center" vertical="center" wrapText="1"/>
      <protection hidden="1"/>
    </xf>
    <xf numFmtId="10" fontId="23" fillId="3" borderId="0" xfId="4" applyNumberFormat="1" applyFont="1" applyFill="1" applyAlignment="1">
      <alignment horizontal="center"/>
    </xf>
    <xf numFmtId="10" fontId="23" fillId="7" borderId="0" xfId="0" applyNumberFormat="1" applyFont="1" applyFill="1" applyAlignment="1" applyProtection="1">
      <alignment horizontal="center"/>
      <protection hidden="1"/>
    </xf>
    <xf numFmtId="0" fontId="23" fillId="7" borderId="0" xfId="0" applyFont="1" applyFill="1" applyProtection="1">
      <protection hidden="1"/>
    </xf>
    <xf numFmtId="2" fontId="23" fillId="3" borderId="0" xfId="4" applyNumberFormat="1" applyFont="1" applyFill="1" applyProtection="1">
      <protection locked="0"/>
    </xf>
    <xf numFmtId="2" fontId="23" fillId="0" borderId="0" xfId="0" applyNumberFormat="1" applyFont="1" applyProtection="1">
      <protection hidden="1"/>
    </xf>
    <xf numFmtId="15" fontId="71" fillId="0" borderId="0" xfId="0" applyNumberFormat="1" applyFont="1"/>
    <xf numFmtId="0" fontId="71" fillId="0" borderId="0" xfId="0" applyFont="1"/>
    <xf numFmtId="0" fontId="21" fillId="0" borderId="0" xfId="0" applyFont="1"/>
    <xf numFmtId="8" fontId="18" fillId="0" borderId="0" xfId="0" applyNumberFormat="1" applyFont="1" applyAlignment="1">
      <alignment horizontal="right"/>
    </xf>
    <xf numFmtId="0" fontId="18" fillId="0" borderId="0" xfId="0" applyFont="1" applyAlignment="1">
      <alignment horizontal="right"/>
    </xf>
    <xf numFmtId="0" fontId="17" fillId="0" borderId="0" xfId="0" applyFont="1"/>
    <xf numFmtId="0" fontId="17" fillId="0" borderId="0" xfId="0" applyFont="1" applyAlignment="1">
      <alignment horizontal="left"/>
    </xf>
    <xf numFmtId="8" fontId="17" fillId="0" borderId="0" xfId="0" applyNumberFormat="1" applyFont="1" applyAlignment="1">
      <alignment horizontal="right"/>
    </xf>
    <xf numFmtId="0" fontId="17" fillId="0" borderId="48" xfId="0" applyFont="1" applyBorder="1" applyProtection="1">
      <protection hidden="1"/>
    </xf>
    <xf numFmtId="44" fontId="93" fillId="7" borderId="0" xfId="3" applyFont="1" applyFill="1" applyBorder="1" applyProtection="1">
      <protection locked="0" hidden="1"/>
    </xf>
    <xf numFmtId="44" fontId="93" fillId="0" borderId="0" xfId="1690" applyNumberFormat="1" applyFont="1" applyFill="1" applyBorder="1" applyProtection="1">
      <protection hidden="1"/>
    </xf>
    <xf numFmtId="0" fontId="95" fillId="0" borderId="4" xfId="0" applyFont="1" applyBorder="1" applyProtection="1">
      <protection hidden="1"/>
    </xf>
    <xf numFmtId="0" fontId="93" fillId="0" borderId="0" xfId="0" applyFont="1" applyProtection="1">
      <protection hidden="1"/>
    </xf>
    <xf numFmtId="0" fontId="18" fillId="0" borderId="5" xfId="0" applyFont="1" applyBorder="1"/>
    <xf numFmtId="0" fontId="17" fillId="0" borderId="3" xfId="0" applyFont="1" applyBorder="1" applyProtection="1">
      <protection hidden="1"/>
    </xf>
    <xf numFmtId="44" fontId="17" fillId="0" borderId="0" xfId="0" applyNumberFormat="1" applyFont="1" applyProtection="1">
      <protection hidden="1"/>
    </xf>
    <xf numFmtId="0" fontId="55" fillId="0" borderId="8" xfId="0" applyFont="1" applyBorder="1" applyAlignment="1">
      <alignment horizontal="center" vertical="center"/>
    </xf>
    <xf numFmtId="0" fontId="55" fillId="0" borderId="6" xfId="0" applyFont="1" applyBorder="1" applyAlignment="1">
      <alignment horizontal="center" vertical="center"/>
    </xf>
    <xf numFmtId="166" fontId="55" fillId="0" borderId="6" xfId="0" applyNumberFormat="1" applyFont="1" applyBorder="1" applyAlignment="1">
      <alignment horizontal="center" vertical="center"/>
    </xf>
    <xf numFmtId="166" fontId="27" fillId="0" borderId="17" xfId="0" applyNumberFormat="1" applyFont="1" applyBorder="1" applyAlignment="1">
      <alignment horizontal="center" vertical="center"/>
    </xf>
    <xf numFmtId="166" fontId="55" fillId="0" borderId="14" xfId="0" applyNumberFormat="1" applyFont="1" applyBorder="1" applyAlignment="1">
      <alignment horizontal="center" vertical="center"/>
    </xf>
    <xf numFmtId="166" fontId="27" fillId="0" borderId="2" xfId="0" applyNumberFormat="1" applyFont="1" applyBorder="1" applyAlignment="1">
      <alignment horizontal="center" vertical="center"/>
    </xf>
    <xf numFmtId="166" fontId="23" fillId="7" borderId="9" xfId="3" applyNumberFormat="1" applyFont="1" applyFill="1" applyBorder="1" applyAlignment="1" applyProtection="1">
      <alignment horizontal="center" vertical="center"/>
      <protection locked="0"/>
    </xf>
    <xf numFmtId="168" fontId="23" fillId="7" borderId="10" xfId="0" applyNumberFormat="1" applyFont="1" applyFill="1" applyBorder="1" applyAlignment="1" applyProtection="1">
      <alignment horizontal="center" vertical="center"/>
      <protection locked="0"/>
    </xf>
    <xf numFmtId="166" fontId="23" fillId="0" borderId="10" xfId="4" applyNumberFormat="1" applyFont="1" applyBorder="1" applyAlignment="1" applyProtection="1">
      <alignment horizontal="center" vertical="center"/>
      <protection hidden="1"/>
    </xf>
    <xf numFmtId="0" fontId="57" fillId="0" borderId="0" xfId="4" applyFont="1" applyAlignment="1" applyProtection="1">
      <alignment vertical="center"/>
      <protection hidden="1"/>
    </xf>
    <xf numFmtId="0" fontId="57" fillId="0" borderId="5" xfId="4" applyFont="1" applyBorder="1" applyAlignment="1" applyProtection="1">
      <alignment vertical="center"/>
      <protection hidden="1"/>
    </xf>
    <xf numFmtId="0" fontId="55" fillId="0" borderId="17" xfId="0" applyFont="1" applyBorder="1" applyAlignment="1">
      <alignment horizontal="center" vertical="center"/>
    </xf>
    <xf numFmtId="0" fontId="55" fillId="0" borderId="13" xfId="0" applyFont="1" applyBorder="1" applyAlignment="1">
      <alignment horizontal="center" vertical="center"/>
    </xf>
    <xf numFmtId="0" fontId="55" fillId="0" borderId="38" xfId="0" applyFont="1" applyBorder="1" applyAlignment="1">
      <alignment horizontal="center" vertical="center"/>
    </xf>
    <xf numFmtId="166" fontId="23" fillId="7" borderId="52" xfId="3" applyNumberFormat="1" applyFont="1" applyFill="1" applyBorder="1" applyAlignment="1" applyProtection="1">
      <alignment horizontal="center" vertical="center"/>
      <protection locked="0"/>
    </xf>
    <xf numFmtId="168" fontId="23" fillId="7" borderId="49" xfId="0" applyNumberFormat="1" applyFont="1" applyFill="1" applyBorder="1" applyAlignment="1" applyProtection="1">
      <alignment horizontal="center" vertical="center"/>
      <protection locked="0"/>
    </xf>
    <xf numFmtId="166" fontId="23" fillId="0" borderId="14" xfId="4" applyNumberFormat="1" applyFont="1" applyBorder="1" applyAlignment="1" applyProtection="1">
      <alignment horizontal="center" vertical="center"/>
      <protection hidden="1"/>
    </xf>
    <xf numFmtId="166" fontId="23" fillId="7" borderId="13" xfId="3" applyNumberFormat="1" applyFont="1" applyFill="1" applyBorder="1" applyAlignment="1" applyProtection="1">
      <alignment horizontal="center" vertical="center"/>
      <protection locked="0"/>
    </xf>
    <xf numFmtId="168" fontId="23" fillId="7" borderId="14" xfId="0" applyNumberFormat="1" applyFont="1" applyFill="1" applyBorder="1" applyAlignment="1" applyProtection="1">
      <alignment horizontal="center" vertical="center"/>
      <protection locked="0"/>
    </xf>
    <xf numFmtId="166" fontId="23" fillId="0" borderId="39" xfId="4" applyNumberFormat="1" applyFont="1" applyBorder="1" applyAlignment="1" applyProtection="1">
      <alignment horizontal="center" vertical="center"/>
      <protection hidden="1"/>
    </xf>
    <xf numFmtId="168" fontId="23" fillId="7" borderId="50" xfId="0" applyNumberFormat="1" applyFont="1" applyFill="1" applyBorder="1" applyAlignment="1" applyProtection="1">
      <alignment horizontal="center" vertical="center"/>
      <protection locked="0"/>
    </xf>
    <xf numFmtId="168" fontId="23" fillId="7" borderId="0" xfId="0" applyNumberFormat="1" applyFont="1" applyFill="1" applyAlignment="1" applyProtection="1">
      <alignment horizontal="center" vertical="center"/>
      <protection locked="0"/>
    </xf>
    <xf numFmtId="168" fontId="23" fillId="0" borderId="3" xfId="0" applyNumberFormat="1" applyFont="1" applyBorder="1" applyAlignment="1">
      <alignment horizontal="center" vertical="center"/>
    </xf>
    <xf numFmtId="168" fontId="23" fillId="0" borderId="0" xfId="0" applyNumberFormat="1" applyFont="1" applyAlignment="1">
      <alignment horizontal="center" vertical="center"/>
    </xf>
    <xf numFmtId="166" fontId="23" fillId="0" borderId="0" xfId="0" applyNumberFormat="1" applyFont="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168" fontId="24" fillId="0" borderId="48" xfId="0" applyNumberFormat="1" applyFont="1" applyBorder="1" applyAlignment="1">
      <alignment horizontal="left" vertical="center"/>
    </xf>
    <xf numFmtId="168" fontId="23" fillId="0" borderId="26" xfId="0" applyNumberFormat="1" applyFont="1" applyBorder="1" applyAlignment="1">
      <alignment horizontal="center" vertical="center"/>
    </xf>
    <xf numFmtId="0" fontId="23" fillId="0" borderId="26" xfId="0" applyFont="1" applyBorder="1" applyAlignment="1">
      <alignment vertical="center"/>
    </xf>
    <xf numFmtId="168" fontId="23" fillId="7" borderId="51" xfId="0" applyNumberFormat="1" applyFont="1" applyFill="1" applyBorder="1" applyAlignment="1" applyProtection="1">
      <alignment horizontal="center" vertical="center"/>
      <protection locked="0"/>
    </xf>
    <xf numFmtId="166" fontId="23" fillId="0" borderId="6" xfId="4" applyNumberFormat="1" applyFont="1" applyBorder="1" applyAlignment="1" applyProtection="1">
      <alignment horizontal="center" vertical="center"/>
      <protection hidden="1"/>
    </xf>
    <xf numFmtId="0" fontId="57" fillId="0" borderId="25" xfId="4" applyFont="1" applyBorder="1" applyAlignment="1" applyProtection="1">
      <alignment vertical="center"/>
      <protection hidden="1"/>
    </xf>
    <xf numFmtId="0" fontId="57" fillId="0" borderId="37" xfId="4" applyFont="1" applyBorder="1" applyAlignment="1" applyProtection="1">
      <alignment vertical="center"/>
      <protection hidden="1"/>
    </xf>
    <xf numFmtId="0" fontId="50" fillId="6" borderId="0" xfId="0" applyFont="1" applyFill="1" applyAlignment="1">
      <alignment horizontal="left"/>
    </xf>
    <xf numFmtId="166" fontId="27" fillId="42" borderId="7" xfId="0" applyNumberFormat="1" applyFont="1" applyFill="1" applyBorder="1" applyAlignment="1">
      <alignment horizontal="center" vertical="center"/>
    </xf>
    <xf numFmtId="166" fontId="27" fillId="42" borderId="12" xfId="0" applyNumberFormat="1" applyFont="1" applyFill="1" applyBorder="1" applyAlignment="1">
      <alignment horizontal="center" vertical="center"/>
    </xf>
    <xf numFmtId="0" fontId="107" fillId="0" borderId="0" xfId="0" applyFont="1"/>
    <xf numFmtId="0" fontId="108" fillId="0" borderId="0" xfId="0" applyFont="1"/>
    <xf numFmtId="0" fontId="108" fillId="0" borderId="0" xfId="0" applyFont="1" applyAlignment="1">
      <alignment wrapText="1"/>
    </xf>
    <xf numFmtId="0" fontId="109" fillId="0" borderId="0" xfId="0" applyFont="1"/>
    <xf numFmtId="9" fontId="108" fillId="0" borderId="0" xfId="6" applyFont="1"/>
    <xf numFmtId="0" fontId="110" fillId="0" borderId="0" xfId="0" applyFont="1" applyAlignment="1">
      <alignment vertical="center"/>
    </xf>
    <xf numFmtId="0" fontId="54" fillId="0" borderId="0" xfId="0" applyFont="1" applyAlignment="1">
      <alignment wrapText="1"/>
    </xf>
    <xf numFmtId="0" fontId="24" fillId="0" borderId="0" xfId="0" applyFont="1" applyAlignment="1" applyProtection="1">
      <alignment horizontal="center" vertical="center"/>
      <protection hidden="1"/>
    </xf>
    <xf numFmtId="10" fontId="23" fillId="3" borderId="0" xfId="0" applyNumberFormat="1" applyFont="1" applyFill="1" applyAlignment="1" applyProtection="1">
      <alignment horizontal="center" vertical="center"/>
      <protection hidden="1"/>
    </xf>
    <xf numFmtId="0" fontId="21" fillId="0" borderId="0" xfId="0" applyFont="1" applyAlignment="1">
      <alignment horizontal="left" vertical="center"/>
    </xf>
    <xf numFmtId="182" fontId="21" fillId="0" borderId="0" xfId="0" applyNumberFormat="1" applyFont="1" applyAlignment="1">
      <alignment horizontal="center" vertical="center"/>
    </xf>
    <xf numFmtId="0" fontId="108" fillId="39" borderId="6" xfId="0" applyFont="1" applyFill="1" applyBorder="1" applyProtection="1">
      <protection locked="0"/>
    </xf>
    <xf numFmtId="9" fontId="23" fillId="39" borderId="0" xfId="0" applyNumberFormat="1" applyFont="1" applyFill="1" applyProtection="1">
      <protection hidden="1"/>
    </xf>
    <xf numFmtId="14" fontId="21" fillId="0" borderId="0" xfId="0" applyNumberFormat="1" applyFont="1"/>
    <xf numFmtId="172" fontId="21" fillId="0" borderId="0" xfId="0" applyNumberFormat="1" applyFont="1" applyAlignment="1">
      <alignment horizontal="center" vertical="center"/>
    </xf>
    <xf numFmtId="0" fontId="21" fillId="0" borderId="0" xfId="0" applyFont="1" applyAlignment="1">
      <alignment vertical="center"/>
    </xf>
    <xf numFmtId="49" fontId="24" fillId="0" borderId="0" xfId="4" applyNumberFormat="1" applyFont="1" applyAlignment="1" applyProtection="1">
      <alignment horizontal="left"/>
      <protection hidden="1"/>
    </xf>
    <xf numFmtId="0" fontId="111" fillId="43" borderId="69" xfId="0" applyFont="1" applyFill="1" applyBorder="1"/>
    <xf numFmtId="0" fontId="111" fillId="43" borderId="70" xfId="4" applyFont="1" applyFill="1" applyBorder="1" applyAlignment="1">
      <alignment horizontal="left"/>
    </xf>
    <xf numFmtId="0" fontId="111" fillId="44" borderId="71" xfId="0" applyFont="1" applyFill="1" applyBorder="1"/>
    <xf numFmtId="0" fontId="111" fillId="44" borderId="68" xfId="4" applyFont="1" applyFill="1" applyBorder="1" applyAlignment="1">
      <alignment horizontal="left"/>
    </xf>
    <xf numFmtId="0" fontId="111" fillId="43" borderId="71" xfId="0" applyFont="1" applyFill="1" applyBorder="1"/>
    <xf numFmtId="0" fontId="111" fillId="43" borderId="68" xfId="5" applyFont="1" applyFill="1" applyBorder="1" applyAlignment="1">
      <alignment horizontal="left"/>
    </xf>
    <xf numFmtId="0" fontId="111" fillId="44" borderId="68" xfId="0" applyFont="1" applyFill="1" applyBorder="1"/>
    <xf numFmtId="0" fontId="111" fillId="44" borderId="68" xfId="5" applyFont="1" applyFill="1" applyBorder="1" applyAlignment="1">
      <alignment horizontal="left"/>
    </xf>
    <xf numFmtId="0" fontId="111" fillId="43" borderId="71" xfId="0" applyFont="1" applyFill="1" applyBorder="1" applyAlignment="1">
      <alignment horizontal="left"/>
    </xf>
    <xf numFmtId="0" fontId="111" fillId="43" borderId="68" xfId="0" applyFont="1" applyFill="1" applyBorder="1" applyAlignment="1">
      <alignment horizontal="left"/>
    </xf>
    <xf numFmtId="0" fontId="23" fillId="3" borderId="0" xfId="0" applyFont="1" applyFill="1" applyProtection="1">
      <protection hidden="1"/>
    </xf>
    <xf numFmtId="1" fontId="23" fillId="0" borderId="0" xfId="4" applyNumberFormat="1" applyFont="1" applyAlignment="1" applyProtection="1">
      <alignment horizontal="center"/>
      <protection hidden="1"/>
    </xf>
    <xf numFmtId="0" fontId="23" fillId="0" borderId="0" xfId="4" applyFont="1" applyAlignment="1" applyProtection="1">
      <alignment horizontal="left"/>
      <protection locked="0"/>
    </xf>
    <xf numFmtId="0" fontId="23" fillId="3" borderId="0" xfId="4" applyFont="1" applyFill="1" applyAlignment="1" applyProtection="1">
      <alignment horizontal="left"/>
      <protection hidden="1"/>
    </xf>
    <xf numFmtId="0" fontId="23" fillId="3" borderId="0" xfId="5" applyFont="1" applyFill="1" applyAlignment="1" applyProtection="1">
      <alignment horizontal="left"/>
      <protection hidden="1"/>
    </xf>
    <xf numFmtId="9" fontId="23" fillId="0" borderId="0" xfId="6" applyFont="1" applyFill="1" applyAlignment="1" applyProtection="1">
      <alignment horizontal="center"/>
      <protection locked="0"/>
    </xf>
    <xf numFmtId="166" fontId="23" fillId="0" borderId="0" xfId="0" applyNumberFormat="1" applyFont="1" applyAlignment="1" applyProtection="1">
      <alignment horizontal="center"/>
      <protection hidden="1"/>
    </xf>
    <xf numFmtId="0" fontId="0" fillId="0" borderId="0" xfId="0" applyAlignment="1">
      <alignment horizontal="center"/>
    </xf>
    <xf numFmtId="169" fontId="23" fillId="0" borderId="0" xfId="3" applyNumberFormat="1" applyFont="1" applyAlignment="1">
      <alignment horizontal="center"/>
    </xf>
    <xf numFmtId="0" fontId="15" fillId="0" borderId="0" xfId="0" applyFont="1" applyAlignment="1">
      <alignment horizontal="center"/>
    </xf>
    <xf numFmtId="169" fontId="23" fillId="0" borderId="0" xfId="4" applyNumberFormat="1" applyFont="1" applyAlignment="1" applyProtection="1">
      <alignment horizontal="center"/>
      <protection hidden="1"/>
    </xf>
    <xf numFmtId="0" fontId="23" fillId="0" borderId="0" xfId="0" applyFont="1" applyAlignment="1" applyProtection="1">
      <alignment horizontal="center"/>
      <protection locked="0"/>
    </xf>
    <xf numFmtId="1" fontId="23" fillId="0" borderId="0" xfId="4" applyNumberFormat="1" applyFont="1" applyAlignment="1" applyProtection="1">
      <alignment horizontal="center"/>
      <protection locked="0"/>
    </xf>
    <xf numFmtId="49" fontId="23" fillId="0" borderId="0" xfId="4" applyNumberFormat="1" applyFont="1" applyAlignment="1" applyProtection="1">
      <alignment horizontal="center"/>
      <protection hidden="1"/>
    </xf>
    <xf numFmtId="166" fontId="23" fillId="3" borderId="0" xfId="0" applyNumberFormat="1" applyFont="1" applyFill="1" applyAlignment="1" applyProtection="1">
      <alignment horizontal="center"/>
      <protection locked="0"/>
    </xf>
    <xf numFmtId="10" fontId="23" fillId="0" borderId="0" xfId="6" applyNumberFormat="1" applyFont="1" applyAlignment="1" applyProtection="1">
      <alignment horizontal="center"/>
      <protection hidden="1"/>
    </xf>
    <xf numFmtId="166" fontId="23" fillId="0" borderId="0" xfId="4" applyNumberFormat="1" applyFont="1" applyAlignment="1" applyProtection="1">
      <alignment horizontal="center"/>
      <protection hidden="1"/>
    </xf>
    <xf numFmtId="0" fontId="46" fillId="0" borderId="0" xfId="0" applyFont="1" applyAlignment="1">
      <alignment horizontal="center" vertical="center"/>
    </xf>
    <xf numFmtId="0" fontId="45" fillId="0" borderId="0" xfId="0" applyFont="1" applyAlignment="1">
      <alignment horizontal="center" vertical="center" wrapText="1"/>
    </xf>
    <xf numFmtId="169" fontId="23" fillId="0" borderId="0" xfId="3" applyNumberFormat="1" applyFont="1" applyAlignment="1" applyProtection="1">
      <alignment horizontal="center"/>
      <protection hidden="1"/>
    </xf>
    <xf numFmtId="9" fontId="23" fillId="0" borderId="0" xfId="0" applyNumberFormat="1" applyFont="1" applyAlignment="1" applyProtection="1">
      <alignment horizontal="center"/>
      <protection hidden="1"/>
    </xf>
    <xf numFmtId="10" fontId="23" fillId="45" borderId="0" xfId="0" applyNumberFormat="1" applyFont="1" applyFill="1" applyProtection="1">
      <protection hidden="1"/>
    </xf>
    <xf numFmtId="169" fontId="0" fillId="0" borderId="0" xfId="3339" applyNumberFormat="1" applyFont="1"/>
    <xf numFmtId="169" fontId="32" fillId="0" borderId="0" xfId="3339" applyNumberFormat="1" applyFont="1" applyBorder="1" applyAlignment="1">
      <alignment horizontal="center"/>
    </xf>
    <xf numFmtId="176" fontId="32" fillId="0" borderId="0" xfId="3339" applyNumberFormat="1" applyFont="1" applyBorder="1" applyAlignment="1">
      <alignment horizontal="center"/>
    </xf>
    <xf numFmtId="175" fontId="29" fillId="0" borderId="0" xfId="3339" applyNumberFormat="1" applyFont="1"/>
    <xf numFmtId="3" fontId="29" fillId="0" borderId="0" xfId="0" applyNumberFormat="1" applyFont="1"/>
    <xf numFmtId="169" fontId="32" fillId="0" borderId="0" xfId="3" applyNumberFormat="1" applyFont="1" applyBorder="1" applyAlignment="1">
      <alignment horizontal="center"/>
    </xf>
    <xf numFmtId="0" fontId="68" fillId="0" borderId="0" xfId="4" applyFont="1" applyAlignment="1" applyProtection="1">
      <alignment horizontal="center"/>
      <protection locked="0"/>
    </xf>
    <xf numFmtId="0" fontId="69" fillId="0" borderId="0" xfId="4" applyFont="1" applyAlignment="1" applyProtection="1">
      <alignment horizontal="center"/>
      <protection locked="0"/>
    </xf>
    <xf numFmtId="0" fontId="53" fillId="0" borderId="0" xfId="4" applyFont="1" applyAlignment="1" applyProtection="1">
      <alignment horizontal="center"/>
      <protection locked="0"/>
    </xf>
    <xf numFmtId="172" fontId="0" fillId="0" borderId="0" xfId="0" applyNumberFormat="1" applyAlignment="1">
      <alignment horizontal="center"/>
    </xf>
    <xf numFmtId="17" fontId="61" fillId="6" borderId="4" xfId="4" applyNumberFormat="1" applyFont="1" applyFill="1" applyBorder="1" applyProtection="1">
      <protection hidden="1"/>
    </xf>
    <xf numFmtId="0" fontId="112" fillId="0" borderId="0" xfId="0" applyFont="1" applyAlignment="1">
      <alignment horizontal="center" vertical="center" wrapText="1"/>
    </xf>
    <xf numFmtId="0" fontId="18" fillId="46" borderId="0" xfId="0" applyFont="1" applyFill="1"/>
    <xf numFmtId="168" fontId="82" fillId="12" borderId="59" xfId="16" applyNumberFormat="1"/>
    <xf numFmtId="0" fontId="113" fillId="7" borderId="6" xfId="12" applyFont="1" applyFill="1" applyBorder="1"/>
    <xf numFmtId="0" fontId="78" fillId="7" borderId="6" xfId="12" applyFill="1" applyBorder="1"/>
    <xf numFmtId="168" fontId="50" fillId="13" borderId="62" xfId="18" applyNumberFormat="1"/>
    <xf numFmtId="10" fontId="82" fillId="12" borderId="6" xfId="16" applyNumberFormat="1" applyBorder="1"/>
    <xf numFmtId="168" fontId="115" fillId="14" borderId="56" xfId="19" applyNumberFormat="1" applyFont="1" applyFill="1" applyBorder="1"/>
    <xf numFmtId="0" fontId="50" fillId="13" borderId="62" xfId="18"/>
    <xf numFmtId="0" fontId="80" fillId="11" borderId="59" xfId="14" applyNumberFormat="1"/>
    <xf numFmtId="0" fontId="23" fillId="40" borderId="0" xfId="4165" applyFont="1" applyFill="1"/>
    <xf numFmtId="0" fontId="121" fillId="40" borderId="0" xfId="4165" applyFont="1" applyFill="1" applyAlignment="1">
      <alignment horizontal="left"/>
    </xf>
    <xf numFmtId="0" fontId="8" fillId="0" borderId="0" xfId="4165"/>
    <xf numFmtId="0" fontId="23" fillId="0" borderId="0" xfId="4165" applyFont="1"/>
    <xf numFmtId="0" fontId="121" fillId="0" borderId="0" xfId="4165" applyFont="1" applyAlignment="1">
      <alignment horizontal="left"/>
    </xf>
    <xf numFmtId="0" fontId="27" fillId="0" borderId="0" xfId="4165" applyFont="1"/>
    <xf numFmtId="168" fontId="120" fillId="14" borderId="63" xfId="4166" applyNumberFormat="1" applyFont="1"/>
    <xf numFmtId="168" fontId="118" fillId="14" borderId="63" xfId="4166" applyNumberFormat="1" applyFont="1"/>
    <xf numFmtId="0" fontId="117" fillId="0" borderId="0" xfId="4165" applyFont="1"/>
    <xf numFmtId="168" fontId="116" fillId="14" borderId="63" xfId="4166" applyNumberFormat="1" applyFont="1"/>
    <xf numFmtId="10" fontId="8" fillId="0" borderId="0" xfId="4165" applyNumberFormat="1"/>
    <xf numFmtId="0" fontId="114" fillId="0" borderId="6" xfId="4165" applyFont="1" applyBorder="1" applyAlignment="1">
      <alignment horizontal="center"/>
    </xf>
    <xf numFmtId="0" fontId="114" fillId="0" borderId="0" xfId="4165" applyFont="1" applyAlignment="1">
      <alignment horizontal="center"/>
    </xf>
    <xf numFmtId="0" fontId="8" fillId="0" borderId="6" xfId="4165" applyBorder="1"/>
    <xf numFmtId="168" fontId="8" fillId="0" borderId="0" xfId="4165" applyNumberFormat="1"/>
    <xf numFmtId="168" fontId="8" fillId="0" borderId="6" xfId="4165" applyNumberFormat="1" applyBorder="1"/>
    <xf numFmtId="0" fontId="58" fillId="0" borderId="0" xfId="0" applyFont="1" applyAlignment="1">
      <alignment horizontal="left" vertical="top"/>
    </xf>
    <xf numFmtId="0" fontId="49" fillId="0" borderId="0" xfId="0" applyFont="1" applyAlignment="1">
      <alignment horizontal="left" vertical="top"/>
    </xf>
    <xf numFmtId="0" fontId="49" fillId="0" borderId="0" xfId="0" applyFont="1" applyAlignment="1">
      <alignment vertical="top"/>
    </xf>
    <xf numFmtId="0" fontId="23" fillId="0" borderId="0" xfId="0" applyFont="1" applyAlignment="1">
      <alignment horizontal="left" vertical="top"/>
    </xf>
    <xf numFmtId="0" fontId="122" fillId="0" borderId="0" xfId="0" applyFont="1" applyAlignment="1">
      <alignment horizontal="left" vertical="top"/>
    </xf>
    <xf numFmtId="0" fontId="124" fillId="0" borderId="0" xfId="0" applyFont="1" applyAlignment="1">
      <alignment horizontal="left" vertical="top"/>
    </xf>
    <xf numFmtId="0" fontId="125" fillId="0" borderId="0" xfId="0" applyFont="1" applyAlignment="1">
      <alignment horizontal="left" vertical="top"/>
    </xf>
    <xf numFmtId="0" fontId="21" fillId="0" borderId="0" xfId="0" applyFont="1" applyAlignment="1">
      <alignment wrapText="1"/>
    </xf>
    <xf numFmtId="0" fontId="48" fillId="47" borderId="0" xfId="0" applyFont="1" applyFill="1" applyAlignment="1">
      <alignment horizontal="left" vertical="top"/>
    </xf>
    <xf numFmtId="0" fontId="122" fillId="47" borderId="0" xfId="0" applyFont="1" applyFill="1" applyAlignment="1">
      <alignment horizontal="left" vertical="top"/>
    </xf>
    <xf numFmtId="0" fontId="123" fillId="47" borderId="0" xfId="7" applyFont="1" applyFill="1"/>
    <xf numFmtId="0" fontId="124" fillId="47" borderId="0" xfId="0" applyFont="1" applyFill="1" applyAlignment="1">
      <alignment horizontal="left" vertical="top"/>
    </xf>
    <xf numFmtId="0" fontId="49" fillId="47" borderId="0" xfId="0" applyFont="1" applyFill="1" applyAlignment="1">
      <alignment vertical="top"/>
    </xf>
    <xf numFmtId="0" fontId="23" fillId="60" borderId="0" xfId="0" applyFont="1" applyFill="1"/>
    <xf numFmtId="0" fontId="24" fillId="60" borderId="0" xfId="0" applyFont="1" applyFill="1"/>
    <xf numFmtId="0" fontId="74" fillId="60" borderId="48" xfId="0" applyFont="1" applyFill="1" applyBorder="1"/>
    <xf numFmtId="0" fontId="18" fillId="60" borderId="6" xfId="4" applyFont="1" applyFill="1" applyBorder="1" applyProtection="1">
      <protection hidden="1"/>
    </xf>
    <xf numFmtId="0" fontId="18" fillId="60" borderId="0" xfId="4" applyFont="1" applyFill="1" applyProtection="1">
      <protection locked="0"/>
    </xf>
    <xf numFmtId="0" fontId="53" fillId="60" borderId="0" xfId="4" applyFont="1" applyFill="1" applyProtection="1">
      <protection locked="0"/>
    </xf>
    <xf numFmtId="0" fontId="23" fillId="45" borderId="0" xfId="0" applyFont="1" applyFill="1" applyProtection="1">
      <protection hidden="1"/>
    </xf>
    <xf numFmtId="10" fontId="23" fillId="45" borderId="0" xfId="4" applyNumberFormat="1" applyFont="1" applyFill="1" applyAlignment="1">
      <alignment horizontal="center"/>
    </xf>
    <xf numFmtId="0" fontId="27" fillId="10" borderId="8" xfId="8323" applyFont="1" applyBorder="1" applyProtection="1">
      <protection locked="0"/>
    </xf>
    <xf numFmtId="0" fontId="27" fillId="10" borderId="8" xfId="8323" applyFont="1" applyBorder="1" applyAlignment="1" applyProtection="1">
      <alignment vertical="center"/>
      <protection locked="0"/>
    </xf>
    <xf numFmtId="0" fontId="2" fillId="0" borderId="0" xfId="8341"/>
    <xf numFmtId="0" fontId="2" fillId="0" borderId="0" xfId="8341" applyAlignment="1">
      <alignment vertical="center"/>
    </xf>
    <xf numFmtId="0" fontId="55" fillId="0" borderId="79" xfId="8341" applyFont="1" applyBorder="1" applyAlignment="1">
      <alignment vertical="center"/>
      <extLst>
        <ext xmlns:xfpb="http://schemas.microsoft.com/office/spreadsheetml/2022/featurepropertybag" uri="{C7286773-470A-42A8-94C5-96B5CB345126}">
          <xfpb:xfComplement i="0"/>
        </ext>
      </extLst>
    </xf>
    <xf numFmtId="44" fontId="0" fillId="0" borderId="0" xfId="8342" applyFont="1" applyAlignment="1" applyProtection="1">
      <alignment vertical="center"/>
    </xf>
    <xf numFmtId="0" fontId="2" fillId="0" borderId="0" xfId="8341" applyAlignment="1">
      <alignment horizontal="center" vertical="center"/>
    </xf>
    <xf numFmtId="0" fontId="55" fillId="0" borderId="78" xfId="8341" applyFont="1" applyBorder="1" applyAlignment="1">
      <alignment vertical="center"/>
      <extLst>
        <ext xmlns:xfpb="http://schemas.microsoft.com/office/spreadsheetml/2022/featurepropertybag" uri="{C7286773-470A-42A8-94C5-96B5CB345126}">
          <xfpb:xfComplement i="0"/>
        </ext>
      </extLst>
    </xf>
    <xf numFmtId="0" fontId="2" fillId="0" borderId="20" xfId="8341" applyBorder="1" applyAlignment="1">
      <alignment horizontal="left" vertical="center"/>
    </xf>
    <xf numFmtId="0" fontId="2" fillId="0" borderId="19" xfId="8341" applyBorder="1" applyAlignment="1">
      <alignment horizontal="left" vertical="center"/>
    </xf>
    <xf numFmtId="0" fontId="131" fillId="0" borderId="0" xfId="8326" applyAlignment="1" applyProtection="1">
      <alignment horizontal="center" vertical="center"/>
      <protection locked="0"/>
    </xf>
    <xf numFmtId="0" fontId="55" fillId="0" borderId="76" xfId="8341" applyFont="1" applyBorder="1" applyAlignment="1">
      <alignment vertical="center"/>
      <extLst>
        <ext xmlns:xfpb="http://schemas.microsoft.com/office/spreadsheetml/2022/featurepropertybag" uri="{C7286773-470A-42A8-94C5-96B5CB345126}">
          <xfpb:xfComplement i="0"/>
        </ext>
      </extLst>
    </xf>
    <xf numFmtId="0" fontId="2" fillId="0" borderId="76" xfId="8341" applyBorder="1" applyAlignment="1">
      <alignment vertical="center"/>
      <extLst>
        <ext xmlns:xfpb="http://schemas.microsoft.com/office/spreadsheetml/2022/featurepropertybag" uri="{C7286773-470A-42A8-94C5-96B5CB345126}">
          <xfpb:xfComplement i="0"/>
        </ext>
      </extLst>
    </xf>
    <xf numFmtId="8" fontId="2" fillId="0" borderId="7" xfId="8341" applyNumberFormat="1" applyBorder="1" applyAlignment="1">
      <alignment vertical="center"/>
    </xf>
    <xf numFmtId="168" fontId="2" fillId="0" borderId="11" xfId="8341" applyNumberFormat="1" applyBorder="1" applyAlignment="1">
      <alignment vertical="center"/>
    </xf>
    <xf numFmtId="0" fontId="2" fillId="0" borderId="1" xfId="8341" applyBorder="1" applyAlignment="1">
      <alignment vertical="center"/>
    </xf>
    <xf numFmtId="0" fontId="27" fillId="0" borderId="55" xfId="8341" applyFont="1" applyBorder="1" applyAlignment="1">
      <alignment vertical="center"/>
    </xf>
    <xf numFmtId="168" fontId="27" fillId="0" borderId="54" xfId="8341" applyNumberFormat="1" applyFont="1" applyBorder="1" applyAlignment="1">
      <alignment vertical="center"/>
    </xf>
    <xf numFmtId="0" fontId="27" fillId="0" borderId="53" xfId="8341" applyFont="1" applyBorder="1" applyAlignment="1">
      <alignment vertical="center"/>
    </xf>
    <xf numFmtId="0" fontId="2" fillId="0" borderId="0" xfId="8341" applyAlignment="1">
      <alignment horizontal="left" vertical="center"/>
    </xf>
    <xf numFmtId="0" fontId="2" fillId="61" borderId="0" xfId="8341" applyFill="1" applyAlignment="1" applyProtection="1">
      <alignment vertical="center"/>
      <protection locked="0"/>
      <extLst>
        <ext xmlns:xfpb="http://schemas.microsoft.com/office/spreadsheetml/2022/featurepropertybag" uri="{C7286773-470A-42A8-94C5-96B5CB345126}">
          <xfpb:xfComplement i="0"/>
        </ext>
      </extLst>
    </xf>
    <xf numFmtId="0" fontId="2" fillId="0" borderId="0" xfId="8341" applyAlignment="1">
      <alignment vertical="center" wrapText="1"/>
    </xf>
    <xf numFmtId="44" fontId="0" fillId="0" borderId="11" xfId="8342" applyFont="1" applyBorder="1" applyAlignment="1" applyProtection="1">
      <alignment vertical="center"/>
    </xf>
    <xf numFmtId="0" fontId="2" fillId="0" borderId="16" xfId="8341" applyBorder="1" applyAlignment="1">
      <alignment vertical="center"/>
    </xf>
    <xf numFmtId="1" fontId="2" fillId="0" borderId="6" xfId="8341" applyNumberFormat="1" applyBorder="1" applyAlignment="1">
      <alignment horizontal="center" vertical="center"/>
    </xf>
    <xf numFmtId="0" fontId="2" fillId="0" borderId="18" xfId="8341" applyBorder="1" applyAlignment="1">
      <alignment vertical="center"/>
    </xf>
    <xf numFmtId="0" fontId="27" fillId="0" borderId="54" xfId="8341" applyFont="1" applyBorder="1" applyAlignment="1">
      <alignment vertical="center"/>
    </xf>
    <xf numFmtId="0" fontId="27" fillId="0" borderId="75" xfId="8341" applyFont="1" applyBorder="1" applyAlignment="1">
      <alignment vertical="center"/>
    </xf>
    <xf numFmtId="0" fontId="27" fillId="0" borderId="74" xfId="8341" applyFont="1" applyBorder="1" applyAlignment="1">
      <alignment horizontal="center" vertical="center"/>
    </xf>
    <xf numFmtId="0" fontId="27" fillId="0" borderId="0" xfId="8341" applyFont="1" applyAlignment="1">
      <alignment vertical="center"/>
    </xf>
    <xf numFmtId="44" fontId="27" fillId="0" borderId="11" xfId="8342" applyFont="1" applyBorder="1" applyProtection="1"/>
    <xf numFmtId="0" fontId="27" fillId="0" borderId="1" xfId="8341" applyFont="1" applyBorder="1"/>
    <xf numFmtId="44" fontId="0" fillId="0" borderId="6" xfId="8342" applyFont="1" applyBorder="1" applyProtection="1"/>
    <xf numFmtId="44" fontId="127" fillId="0" borderId="0" xfId="8342" applyFont="1" applyProtection="1"/>
    <xf numFmtId="0" fontId="127" fillId="0" borderId="0" xfId="8341" applyFont="1"/>
    <xf numFmtId="44" fontId="27" fillId="0" borderId="0" xfId="8342" applyFont="1" applyFill="1" applyProtection="1"/>
    <xf numFmtId="0" fontId="27" fillId="0" borderId="0" xfId="8341" applyFont="1"/>
    <xf numFmtId="0" fontId="27" fillId="0" borderId="6" xfId="8341" applyFont="1" applyBorder="1" applyAlignment="1">
      <alignment horizontal="center"/>
    </xf>
    <xf numFmtId="0" fontId="27" fillId="0" borderId="8" xfId="8341" applyFont="1" applyBorder="1"/>
    <xf numFmtId="0" fontId="2" fillId="0" borderId="0" xfId="8341" applyAlignment="1">
      <alignment wrapText="1"/>
    </xf>
    <xf numFmtId="44" fontId="2" fillId="0" borderId="0" xfId="8341" applyNumberFormat="1"/>
    <xf numFmtId="44" fontId="27" fillId="0" borderId="6" xfId="8342" applyFont="1" applyFill="1" applyBorder="1" applyProtection="1"/>
    <xf numFmtId="44" fontId="27" fillId="0" borderId="8" xfId="8342" applyFont="1" applyFill="1" applyBorder="1" applyProtection="1"/>
    <xf numFmtId="44" fontId="0" fillId="61" borderId="0" xfId="8342" applyFont="1" applyFill="1" applyAlignment="1" applyProtection="1">
      <alignment vertical="center"/>
      <protection locked="0"/>
    </xf>
    <xf numFmtId="0" fontId="129" fillId="0" borderId="8" xfId="8341" applyFont="1" applyBorder="1"/>
    <xf numFmtId="0" fontId="2" fillId="61" borderId="8" xfId="8344" applyFill="1" applyBorder="1" applyProtection="1">
      <protection locked="0"/>
    </xf>
    <xf numFmtId="0" fontId="27" fillId="61" borderId="6" xfId="8341" applyFont="1" applyFill="1" applyBorder="1" applyAlignment="1" applyProtection="1">
      <alignment vertical="center"/>
      <protection locked="0"/>
    </xf>
    <xf numFmtId="0" fontId="27" fillId="0" borderId="6" xfId="8341" applyFont="1" applyBorder="1"/>
    <xf numFmtId="0" fontId="27" fillId="0" borderId="6" xfId="8341" applyFont="1" applyBorder="1" applyAlignment="1">
      <alignment horizontal="right" vertical="center"/>
    </xf>
    <xf numFmtId="169" fontId="0" fillId="0" borderId="0" xfId="8345" applyNumberFormat="1" applyFont="1"/>
    <xf numFmtId="169" fontId="32" fillId="0" borderId="0" xfId="8398" applyNumberFormat="1" applyFont="1" applyBorder="1" applyAlignment="1">
      <alignment horizontal="center"/>
    </xf>
    <xf numFmtId="1" fontId="0" fillId="0" borderId="0" xfId="0" applyNumberFormat="1"/>
    <xf numFmtId="1" fontId="32" fillId="0" borderId="0" xfId="8398" applyNumberFormat="1" applyFont="1" applyBorder="1" applyAlignment="1">
      <alignment horizontal="center"/>
    </xf>
    <xf numFmtId="169" fontId="0" fillId="0" borderId="0" xfId="8398" applyNumberFormat="1" applyFont="1"/>
    <xf numFmtId="166" fontId="31" fillId="5" borderId="35" xfId="0" applyNumberFormat="1" applyFont="1" applyFill="1" applyBorder="1" applyAlignment="1">
      <alignment horizontal="left"/>
    </xf>
    <xf numFmtId="166" fontId="31" fillId="5" borderId="0" xfId="0" applyNumberFormat="1" applyFont="1" applyFill="1" applyAlignment="1">
      <alignment horizontal="left"/>
    </xf>
    <xf numFmtId="166" fontId="31" fillId="5" borderId="25" xfId="0" applyNumberFormat="1" applyFont="1" applyFill="1" applyBorder="1" applyAlignment="1">
      <alignment horizontal="left"/>
    </xf>
    <xf numFmtId="0" fontId="41" fillId="6" borderId="3" xfId="4" applyFont="1" applyFill="1" applyBorder="1" applyAlignment="1" applyProtection="1">
      <alignment horizontal="center" vertical="center"/>
      <protection hidden="1"/>
    </xf>
    <xf numFmtId="0" fontId="41" fillId="6" borderId="0" xfId="4" applyFont="1" applyFill="1" applyAlignment="1" applyProtection="1">
      <alignment horizontal="center" vertical="center"/>
      <protection hidden="1"/>
    </xf>
    <xf numFmtId="0" fontId="18" fillId="0" borderId="21" xfId="4" applyFont="1" applyBorder="1" applyAlignment="1" applyProtection="1">
      <alignment horizontal="left" vertical="top"/>
      <protection locked="0"/>
    </xf>
    <xf numFmtId="0" fontId="18" fillId="0" borderId="4" xfId="4" applyFont="1" applyBorder="1" applyAlignment="1" applyProtection="1">
      <alignment horizontal="left" vertical="top"/>
      <protection locked="0"/>
    </xf>
    <xf numFmtId="0" fontId="18" fillId="0" borderId="22" xfId="4" applyFont="1" applyBorder="1" applyAlignment="1" applyProtection="1">
      <alignment horizontal="left" vertical="top"/>
      <protection locked="0"/>
    </xf>
    <xf numFmtId="0" fontId="18" fillId="0" borderId="3" xfId="4" applyFont="1" applyBorder="1" applyAlignment="1" applyProtection="1">
      <alignment horizontal="left" vertical="top"/>
      <protection locked="0"/>
    </xf>
    <xf numFmtId="0" fontId="18" fillId="0" borderId="0" xfId="4" applyFont="1" applyAlignment="1" applyProtection="1">
      <alignment horizontal="left" vertical="top"/>
      <protection locked="0"/>
    </xf>
    <xf numFmtId="0" fontId="18" fillId="0" borderId="5" xfId="4" applyFont="1" applyBorder="1" applyAlignment="1" applyProtection="1">
      <alignment horizontal="left" vertical="top"/>
      <protection locked="0"/>
    </xf>
    <xf numFmtId="0" fontId="18" fillId="0" borderId="48" xfId="4" applyFont="1" applyBorder="1" applyAlignment="1" applyProtection="1">
      <alignment horizontal="left" vertical="top"/>
      <protection locked="0"/>
    </xf>
    <xf numFmtId="0" fontId="18" fillId="0" borderId="26" xfId="4" applyFont="1" applyBorder="1" applyAlignment="1" applyProtection="1">
      <alignment horizontal="left" vertical="top"/>
      <protection locked="0"/>
    </xf>
    <xf numFmtId="0" fontId="18" fillId="0" borderId="27" xfId="4" applyFont="1" applyBorder="1" applyAlignment="1" applyProtection="1">
      <alignment horizontal="left" vertical="top"/>
      <protection locked="0"/>
    </xf>
    <xf numFmtId="0" fontId="18" fillId="0" borderId="13" xfId="4" applyFont="1" applyBorder="1" applyAlignment="1" applyProtection="1">
      <alignment horizontal="left" vertical="center" wrapText="1"/>
      <protection hidden="1"/>
    </xf>
    <xf numFmtId="0" fontId="18" fillId="0" borderId="52" xfId="4" applyFont="1" applyBorder="1" applyAlignment="1" applyProtection="1">
      <alignment horizontal="left" vertical="center"/>
      <protection hidden="1"/>
    </xf>
    <xf numFmtId="0" fontId="18" fillId="0" borderId="46" xfId="4" applyFont="1" applyBorder="1" applyAlignment="1" applyProtection="1">
      <alignment horizontal="left" vertical="center"/>
      <protection hidden="1"/>
    </xf>
    <xf numFmtId="0" fontId="18" fillId="7" borderId="38" xfId="4" applyFont="1" applyFill="1" applyBorder="1" applyAlignment="1" applyProtection="1">
      <alignment horizontal="left" vertical="top" wrapText="1"/>
      <protection locked="0"/>
    </xf>
    <xf numFmtId="0" fontId="18" fillId="7" borderId="35" xfId="4" applyFont="1" applyFill="1" applyBorder="1" applyAlignment="1" applyProtection="1">
      <alignment horizontal="left" vertical="top"/>
      <protection locked="0"/>
    </xf>
    <xf numFmtId="0" fontId="18" fillId="7" borderId="36" xfId="4" applyFont="1" applyFill="1" applyBorder="1" applyAlignment="1" applyProtection="1">
      <alignment horizontal="left" vertical="top"/>
      <protection locked="0"/>
    </xf>
    <xf numFmtId="0" fontId="18" fillId="7" borderId="49" xfId="4" applyFont="1" applyFill="1" applyBorder="1" applyAlignment="1" applyProtection="1">
      <alignment horizontal="left" vertical="top"/>
      <protection locked="0"/>
    </xf>
    <xf numFmtId="0" fontId="18" fillId="7" borderId="0" xfId="4" applyFont="1" applyFill="1" applyAlignment="1" applyProtection="1">
      <alignment horizontal="left" vertical="top"/>
      <protection locked="0"/>
    </xf>
    <xf numFmtId="0" fontId="18" fillId="7" borderId="5" xfId="4" applyFont="1" applyFill="1" applyBorder="1" applyAlignment="1" applyProtection="1">
      <alignment horizontal="left" vertical="top"/>
      <protection locked="0"/>
    </xf>
    <xf numFmtId="0" fontId="18" fillId="7" borderId="44" xfId="4" applyFont="1" applyFill="1" applyBorder="1" applyAlignment="1" applyProtection="1">
      <alignment horizontal="left" vertical="top"/>
      <protection locked="0"/>
    </xf>
    <xf numFmtId="0" fontId="18" fillId="7" borderId="26" xfId="4" applyFont="1" applyFill="1" applyBorder="1" applyAlignment="1" applyProtection="1">
      <alignment horizontal="left" vertical="top"/>
      <protection locked="0"/>
    </xf>
    <xf numFmtId="0" fontId="18" fillId="7" borderId="27" xfId="4" applyFont="1" applyFill="1" applyBorder="1" applyAlignment="1" applyProtection="1">
      <alignment horizontal="left" vertical="top"/>
      <protection locked="0"/>
    </xf>
    <xf numFmtId="0" fontId="41" fillId="6" borderId="28" xfId="4" applyFont="1" applyFill="1" applyBorder="1" applyAlignment="1" applyProtection="1">
      <alignment horizontal="center" vertical="center"/>
      <protection hidden="1"/>
    </xf>
    <xf numFmtId="0" fontId="41" fillId="6" borderId="29" xfId="4" applyFont="1" applyFill="1" applyBorder="1" applyAlignment="1" applyProtection="1">
      <alignment horizontal="center" vertical="center"/>
      <protection hidden="1"/>
    </xf>
    <xf numFmtId="0" fontId="41" fillId="6" borderId="30" xfId="4" applyFont="1" applyFill="1" applyBorder="1" applyAlignment="1" applyProtection="1">
      <alignment horizontal="center" vertical="center"/>
      <protection hidden="1"/>
    </xf>
    <xf numFmtId="0" fontId="18" fillId="7" borderId="17" xfId="4" applyFont="1" applyFill="1" applyBorder="1" applyAlignment="1" applyProtection="1">
      <alignment horizontal="left"/>
      <protection locked="0"/>
    </xf>
    <xf numFmtId="0" fontId="18" fillId="7" borderId="19" xfId="4" applyFont="1" applyFill="1" applyBorder="1" applyAlignment="1" applyProtection="1">
      <alignment horizontal="left"/>
      <protection locked="0"/>
    </xf>
    <xf numFmtId="0" fontId="18" fillId="7" borderId="20" xfId="4" applyFont="1" applyFill="1" applyBorder="1" applyAlignment="1" applyProtection="1">
      <alignment horizontal="left"/>
      <protection locked="0"/>
    </xf>
    <xf numFmtId="0" fontId="18" fillId="7" borderId="35" xfId="4" applyFont="1" applyFill="1" applyBorder="1" applyAlignment="1" applyProtection="1">
      <alignment horizontal="left" vertical="top" wrapText="1"/>
      <protection locked="0"/>
    </xf>
    <xf numFmtId="0" fontId="18" fillId="7" borderId="36" xfId="4" applyFont="1" applyFill="1" applyBorder="1" applyAlignment="1" applyProtection="1">
      <alignment horizontal="left" vertical="top" wrapText="1"/>
      <protection locked="0"/>
    </xf>
    <xf numFmtId="0" fontId="18" fillId="7" borderId="51" xfId="4" applyFont="1" applyFill="1" applyBorder="1" applyAlignment="1" applyProtection="1">
      <alignment horizontal="left" vertical="top" wrapText="1"/>
      <protection locked="0"/>
    </xf>
    <xf numFmtId="0" fontId="18" fillId="7" borderId="25" xfId="4" applyFont="1" applyFill="1" applyBorder="1" applyAlignment="1" applyProtection="1">
      <alignment horizontal="left" vertical="top" wrapText="1"/>
      <protection locked="0"/>
    </xf>
    <xf numFmtId="0" fontId="18" fillId="7" borderId="37" xfId="4" applyFont="1" applyFill="1" applyBorder="1" applyAlignment="1" applyProtection="1">
      <alignment horizontal="left" vertical="top" wrapText="1"/>
      <protection locked="0"/>
    </xf>
    <xf numFmtId="0" fontId="18" fillId="7" borderId="12" xfId="4" applyFont="1" applyFill="1" applyBorder="1" applyAlignment="1" applyProtection="1">
      <alignment horizontal="center"/>
      <protection locked="0"/>
    </xf>
    <xf numFmtId="0" fontId="18" fillId="7" borderId="40" xfId="4" applyFont="1" applyFill="1" applyBorder="1" applyAlignment="1" applyProtection="1">
      <alignment horizontal="center"/>
      <protection locked="0"/>
    </xf>
    <xf numFmtId="0" fontId="18" fillId="7" borderId="41" xfId="4" applyFont="1" applyFill="1" applyBorder="1" applyAlignment="1" applyProtection="1">
      <alignment horizontal="center"/>
      <protection locked="0"/>
    </xf>
    <xf numFmtId="0" fontId="18" fillId="0" borderId="34" xfId="4" applyFont="1" applyBorder="1" applyAlignment="1" applyProtection="1">
      <alignment horizontal="left" vertical="center"/>
      <protection hidden="1"/>
    </xf>
    <xf numFmtId="0" fontId="18" fillId="0" borderId="43" xfId="4" applyFont="1" applyBorder="1" applyAlignment="1" applyProtection="1">
      <alignment horizontal="left" vertical="center"/>
      <protection hidden="1"/>
    </xf>
    <xf numFmtId="172" fontId="18" fillId="0" borderId="26" xfId="4" applyNumberFormat="1" applyFont="1" applyBorder="1" applyAlignment="1" applyProtection="1">
      <alignment horizontal="center"/>
      <protection locked="0"/>
    </xf>
    <xf numFmtId="172" fontId="18" fillId="0" borderId="27" xfId="4" applyNumberFormat="1" applyFont="1" applyBorder="1" applyAlignment="1" applyProtection="1">
      <alignment horizontal="center"/>
      <protection locked="0"/>
    </xf>
    <xf numFmtId="0" fontId="42" fillId="6" borderId="29" xfId="0" applyFont="1" applyFill="1" applyBorder="1"/>
    <xf numFmtId="0" fontId="42" fillId="6" borderId="30" xfId="0" applyFont="1" applyFill="1" applyBorder="1"/>
    <xf numFmtId="0" fontId="17" fillId="0" borderId="24" xfId="4" applyFont="1" applyBorder="1" applyAlignment="1" applyProtection="1">
      <alignment horizontal="left"/>
      <protection hidden="1"/>
    </xf>
    <xf numFmtId="0" fontId="17" fillId="0" borderId="18" xfId="4" applyFont="1" applyBorder="1" applyAlignment="1" applyProtection="1">
      <alignment horizontal="left"/>
      <protection hidden="1"/>
    </xf>
    <xf numFmtId="0" fontId="18" fillId="7" borderId="35" xfId="4" applyFont="1" applyFill="1" applyBorder="1" applyAlignment="1" applyProtection="1">
      <alignment horizontal="center"/>
      <protection locked="0"/>
    </xf>
    <xf numFmtId="0" fontId="18" fillId="7" borderId="36" xfId="4" applyFont="1" applyFill="1" applyBorder="1" applyAlignment="1" applyProtection="1">
      <alignment horizontal="center"/>
      <protection locked="0"/>
    </xf>
    <xf numFmtId="49" fontId="18" fillId="7" borderId="24" xfId="4" applyNumberFormat="1" applyFont="1" applyFill="1" applyBorder="1" applyAlignment="1" applyProtection="1">
      <alignment horizontal="left" vertical="center"/>
      <protection locked="0"/>
    </xf>
    <xf numFmtId="49" fontId="18" fillId="7" borderId="18" xfId="0" applyNumberFormat="1" applyFont="1" applyFill="1" applyBorder="1" applyProtection="1">
      <protection locked="0"/>
    </xf>
    <xf numFmtId="172" fontId="18" fillId="5" borderId="25" xfId="4" applyNumberFormat="1" applyFont="1" applyFill="1" applyBorder="1" applyAlignment="1" applyProtection="1">
      <alignment horizontal="center"/>
      <protection locked="0"/>
    </xf>
    <xf numFmtId="172" fontId="18" fillId="5" borderId="37" xfId="4" applyNumberFormat="1" applyFont="1" applyFill="1" applyBorder="1" applyAlignment="1" applyProtection="1">
      <alignment horizontal="center"/>
      <protection locked="0"/>
    </xf>
    <xf numFmtId="0" fontId="41" fillId="6" borderId="43" xfId="4" applyFont="1" applyFill="1" applyBorder="1" applyAlignment="1" applyProtection="1">
      <alignment horizontal="center" vertical="center"/>
      <protection hidden="1"/>
    </xf>
    <xf numFmtId="0" fontId="41" fillId="6" borderId="25" xfId="4" applyFont="1" applyFill="1" applyBorder="1" applyAlignment="1" applyProtection="1">
      <alignment horizontal="center" vertical="center"/>
      <protection hidden="1"/>
    </xf>
    <xf numFmtId="0" fontId="41" fillId="6" borderId="37" xfId="4" applyFont="1" applyFill="1" applyBorder="1" applyAlignment="1" applyProtection="1">
      <alignment horizontal="center" vertical="center"/>
      <protection hidden="1"/>
    </xf>
    <xf numFmtId="0" fontId="17" fillId="0" borderId="34" xfId="4" applyFont="1" applyBorder="1" applyAlignment="1" applyProtection="1">
      <alignment horizontal="center"/>
      <protection hidden="1"/>
    </xf>
    <xf numFmtId="0" fontId="17" fillId="0" borderId="35" xfId="4" applyFont="1" applyBorder="1" applyAlignment="1" applyProtection="1">
      <alignment horizontal="center"/>
      <protection hidden="1"/>
    </xf>
    <xf numFmtId="0" fontId="17" fillId="0" borderId="36" xfId="4" applyFont="1" applyBorder="1" applyAlignment="1" applyProtection="1">
      <alignment horizontal="center"/>
      <protection hidden="1"/>
    </xf>
    <xf numFmtId="0" fontId="42" fillId="6" borderId="25" xfId="0" applyFont="1" applyFill="1" applyBorder="1"/>
    <xf numFmtId="0" fontId="42" fillId="6" borderId="37" xfId="0" applyFont="1" applyFill="1" applyBorder="1"/>
    <xf numFmtId="0" fontId="18" fillId="7" borderId="0" xfId="4" applyFont="1" applyFill="1" applyAlignment="1" applyProtection="1">
      <alignment horizontal="center"/>
      <protection locked="0"/>
    </xf>
    <xf numFmtId="0" fontId="18" fillId="7" borderId="5" xfId="4" applyFont="1" applyFill="1" applyBorder="1" applyAlignment="1" applyProtection="1">
      <alignment horizontal="center"/>
      <protection locked="0"/>
    </xf>
    <xf numFmtId="0" fontId="53" fillId="0" borderId="0" xfId="4" applyFont="1" applyAlignment="1" applyProtection="1">
      <alignment horizontal="left" indent="1"/>
      <protection locked="0"/>
    </xf>
    <xf numFmtId="164" fontId="88" fillId="6" borderId="0" xfId="0" applyNumberFormat="1" applyFont="1" applyFill="1" applyAlignment="1" applyProtection="1">
      <alignment horizontal="center"/>
      <protection hidden="1"/>
    </xf>
    <xf numFmtId="170" fontId="17" fillId="0" borderId="12" xfId="3" applyNumberFormat="1" applyFont="1" applyBorder="1" applyAlignment="1" applyProtection="1">
      <alignment horizontal="center"/>
      <protection hidden="1"/>
    </xf>
    <xf numFmtId="170" fontId="17" fillId="0" borderId="16" xfId="3" applyNumberFormat="1" applyFont="1" applyBorder="1" applyAlignment="1" applyProtection="1">
      <alignment horizontal="center"/>
      <protection hidden="1"/>
    </xf>
    <xf numFmtId="0" fontId="89" fillId="6" borderId="0" xfId="4" applyFont="1" applyFill="1" applyAlignment="1" applyProtection="1">
      <alignment horizontal="center"/>
      <protection hidden="1"/>
    </xf>
    <xf numFmtId="10" fontId="17" fillId="5" borderId="12" xfId="6" applyNumberFormat="1" applyFont="1" applyFill="1" applyBorder="1" applyAlignment="1" applyProtection="1">
      <alignment horizontal="center"/>
      <protection hidden="1"/>
    </xf>
    <xf numFmtId="10" fontId="17" fillId="5" borderId="16" xfId="6" applyNumberFormat="1" applyFont="1" applyFill="1" applyBorder="1" applyAlignment="1" applyProtection="1">
      <alignment horizontal="center"/>
      <protection hidden="1"/>
    </xf>
    <xf numFmtId="0" fontId="17" fillId="5" borderId="12" xfId="0" applyFont="1" applyFill="1" applyBorder="1" applyAlignment="1" applyProtection="1">
      <alignment horizontal="center"/>
      <protection hidden="1"/>
    </xf>
    <xf numFmtId="0" fontId="71" fillId="5" borderId="16" xfId="0" applyFont="1" applyFill="1" applyBorder="1"/>
    <xf numFmtId="0" fontId="18" fillId="0" borderId="17" xfId="4" applyFont="1" applyBorder="1" applyAlignment="1" applyProtection="1">
      <alignment horizontal="center"/>
      <protection hidden="1"/>
    </xf>
    <xf numFmtId="0" fontId="18" fillId="0" borderId="18" xfId="4" applyFont="1" applyBorder="1" applyAlignment="1" applyProtection="1">
      <alignment horizontal="center"/>
      <protection hidden="1"/>
    </xf>
    <xf numFmtId="0" fontId="41" fillId="6" borderId="28" xfId="4" applyFont="1" applyFill="1" applyBorder="1" applyAlignment="1" applyProtection="1">
      <alignment horizontal="center"/>
      <protection hidden="1"/>
    </xf>
    <xf numFmtId="0" fontId="41" fillId="6" borderId="29" xfId="4" applyFont="1" applyFill="1" applyBorder="1" applyAlignment="1" applyProtection="1">
      <alignment horizontal="center"/>
      <protection hidden="1"/>
    </xf>
    <xf numFmtId="0" fontId="41" fillId="6" borderId="30" xfId="4" applyFont="1" applyFill="1" applyBorder="1" applyAlignment="1" applyProtection="1">
      <alignment horizontal="center"/>
      <protection hidden="1"/>
    </xf>
    <xf numFmtId="164" fontId="41" fillId="6" borderId="28" xfId="0" applyNumberFormat="1" applyFont="1" applyFill="1" applyBorder="1" applyAlignment="1" applyProtection="1">
      <alignment horizontal="center"/>
      <protection hidden="1"/>
    </xf>
    <xf numFmtId="164" fontId="41" fillId="6" borderId="29" xfId="0" applyNumberFormat="1" applyFont="1" applyFill="1" applyBorder="1" applyAlignment="1" applyProtection="1">
      <alignment horizontal="center"/>
      <protection hidden="1"/>
    </xf>
    <xf numFmtId="164" fontId="41" fillId="6" borderId="30" xfId="0" applyNumberFormat="1" applyFont="1" applyFill="1" applyBorder="1" applyAlignment="1" applyProtection="1">
      <alignment horizontal="center"/>
      <protection hidden="1"/>
    </xf>
    <xf numFmtId="0" fontId="41" fillId="6" borderId="31" xfId="4" applyFont="1" applyFill="1" applyBorder="1" applyAlignment="1" applyProtection="1">
      <alignment horizontal="center" vertical="center"/>
      <protection hidden="1"/>
    </xf>
    <xf numFmtId="0" fontId="42" fillId="6" borderId="32" xfId="0" applyFont="1" applyFill="1" applyBorder="1"/>
    <xf numFmtId="0" fontId="42" fillId="6" borderId="33" xfId="0" applyFont="1" applyFill="1" applyBorder="1"/>
    <xf numFmtId="49" fontId="20" fillId="7" borderId="17" xfId="4" applyNumberFormat="1" applyFont="1" applyFill="1" applyBorder="1" applyAlignment="1" applyProtection="1">
      <alignment horizontal="left" wrapText="1"/>
      <protection locked="0"/>
    </xf>
    <xf numFmtId="49" fontId="20" fillId="7" borderId="18" xfId="4" applyNumberFormat="1" applyFont="1" applyFill="1" applyBorder="1" applyAlignment="1" applyProtection="1">
      <alignment horizontal="left" wrapText="1"/>
      <protection locked="0"/>
    </xf>
    <xf numFmtId="49" fontId="18" fillId="7" borderId="38" xfId="4" applyNumberFormat="1" applyFont="1" applyFill="1" applyBorder="1" applyAlignment="1" applyProtection="1">
      <alignment horizontal="left"/>
      <protection locked="0"/>
    </xf>
    <xf numFmtId="49" fontId="18" fillId="7" borderId="39" xfId="4" applyNumberFormat="1" applyFont="1" applyFill="1" applyBorder="1" applyAlignment="1" applyProtection="1">
      <alignment horizontal="left"/>
      <protection locked="0"/>
    </xf>
    <xf numFmtId="49" fontId="19" fillId="7" borderId="17" xfId="4" applyNumberFormat="1" applyFont="1" applyFill="1" applyBorder="1" applyAlignment="1" applyProtection="1">
      <alignment horizontal="left"/>
      <protection locked="0"/>
    </xf>
    <xf numFmtId="49" fontId="19" fillId="7" borderId="18" xfId="4" applyNumberFormat="1" applyFont="1" applyFill="1" applyBorder="1" applyAlignment="1" applyProtection="1">
      <alignment horizontal="left"/>
      <protection locked="0"/>
    </xf>
    <xf numFmtId="0" fontId="17" fillId="2" borderId="12" xfId="4" applyFont="1" applyFill="1" applyBorder="1" applyAlignment="1" applyProtection="1">
      <alignment horizontal="center"/>
      <protection hidden="1"/>
    </xf>
    <xf numFmtId="0" fontId="17" fillId="2" borderId="16" xfId="4" applyFont="1" applyFill="1" applyBorder="1" applyAlignment="1" applyProtection="1">
      <alignment horizontal="center"/>
      <protection hidden="1"/>
    </xf>
    <xf numFmtId="49" fontId="20" fillId="7" borderId="17" xfId="4" applyNumberFormat="1" applyFont="1" applyFill="1" applyBorder="1" applyAlignment="1" applyProtection="1">
      <alignment horizontal="left"/>
      <protection locked="0"/>
    </xf>
    <xf numFmtId="49" fontId="20" fillId="7" borderId="18" xfId="4" applyNumberFormat="1" applyFont="1" applyFill="1" applyBorder="1" applyAlignment="1" applyProtection="1">
      <alignment horizontal="left"/>
      <protection locked="0"/>
    </xf>
    <xf numFmtId="49" fontId="18" fillId="7" borderId="12" xfId="4" applyNumberFormat="1" applyFont="1" applyFill="1" applyBorder="1" applyAlignment="1" applyProtection="1">
      <alignment horizontal="left"/>
      <protection locked="0"/>
    </xf>
    <xf numFmtId="49" fontId="18" fillId="7" borderId="16" xfId="4" applyNumberFormat="1" applyFont="1" applyFill="1" applyBorder="1" applyAlignment="1" applyProtection="1">
      <alignment horizontal="left"/>
      <protection locked="0"/>
    </xf>
    <xf numFmtId="0" fontId="17" fillId="7" borderId="6" xfId="0" applyFont="1" applyFill="1" applyBorder="1" applyAlignment="1" applyProtection="1">
      <alignment horizontal="center"/>
      <protection locked="0"/>
    </xf>
    <xf numFmtId="0" fontId="17" fillId="7" borderId="8" xfId="4" applyFont="1" applyFill="1" applyBorder="1" applyAlignment="1" applyProtection="1">
      <alignment vertical="center"/>
      <protection locked="0"/>
    </xf>
    <xf numFmtId="0" fontId="17" fillId="7" borderId="6" xfId="4" applyFont="1" applyFill="1" applyBorder="1" applyAlignment="1" applyProtection="1">
      <alignment vertical="center"/>
      <protection locked="0"/>
    </xf>
    <xf numFmtId="49" fontId="17" fillId="7" borderId="31" xfId="916" applyNumberFormat="1" applyFont="1" applyFill="1" applyBorder="1" applyAlignment="1" applyProtection="1">
      <alignment horizontal="left"/>
      <protection locked="0"/>
    </xf>
    <xf numFmtId="49" fontId="17" fillId="7" borderId="32" xfId="916" applyNumberFormat="1" applyFont="1" applyFill="1" applyBorder="1" applyAlignment="1" applyProtection="1">
      <alignment horizontal="left"/>
      <protection locked="0"/>
    </xf>
    <xf numFmtId="49" fontId="17" fillId="7" borderId="33" xfId="916" applyNumberFormat="1" applyFont="1" applyFill="1" applyBorder="1" applyAlignment="1" applyProtection="1">
      <alignment horizontal="left"/>
      <protection locked="0"/>
    </xf>
    <xf numFmtId="0" fontId="41" fillId="6" borderId="21" xfId="4" applyFont="1" applyFill="1" applyBorder="1" applyAlignment="1" applyProtection="1">
      <alignment horizontal="center" vertical="center"/>
      <protection hidden="1"/>
    </xf>
    <xf numFmtId="0" fontId="42" fillId="6" borderId="4" xfId="0" applyFont="1" applyFill="1" applyBorder="1"/>
    <xf numFmtId="0" fontId="42" fillId="6" borderId="22" xfId="0" applyFont="1" applyFill="1" applyBorder="1"/>
    <xf numFmtId="0" fontId="17" fillId="0" borderId="6" xfId="4" applyFont="1" applyBorder="1" applyAlignment="1" applyProtection="1">
      <alignment horizontal="center" vertical="center" wrapText="1"/>
      <protection hidden="1"/>
    </xf>
    <xf numFmtId="0" fontId="23" fillId="0" borderId="0" xfId="0" applyFont="1" applyAlignment="1">
      <alignment horizontal="center"/>
    </xf>
    <xf numFmtId="0" fontId="46" fillId="0" borderId="0" xfId="0" applyFont="1" applyAlignment="1">
      <alignment horizontal="left" vertical="center"/>
    </xf>
    <xf numFmtId="0" fontId="15" fillId="0" borderId="0" xfId="0" applyFont="1"/>
    <xf numFmtId="0" fontId="41" fillId="6" borderId="53" xfId="4" applyFont="1" applyFill="1" applyBorder="1" applyAlignment="1" applyProtection="1">
      <alignment horizontal="center" vertical="center"/>
      <protection hidden="1"/>
    </xf>
    <xf numFmtId="0" fontId="42" fillId="6" borderId="54" xfId="0" applyFont="1" applyFill="1" applyBorder="1"/>
    <xf numFmtId="0" fontId="42" fillId="6" borderId="55" xfId="0" applyFont="1" applyFill="1" applyBorder="1"/>
    <xf numFmtId="0" fontId="17" fillId="5" borderId="44" xfId="0" applyFont="1" applyFill="1" applyBorder="1" applyAlignment="1" applyProtection="1">
      <alignment horizontal="center"/>
      <protection hidden="1"/>
    </xf>
    <xf numFmtId="0" fontId="71" fillId="5" borderId="45" xfId="0" applyFont="1" applyFill="1" applyBorder="1"/>
    <xf numFmtId="49" fontId="18" fillId="7" borderId="24" xfId="4" applyNumberFormat="1" applyFont="1" applyFill="1" applyBorder="1" applyAlignment="1" applyProtection="1">
      <alignment horizontal="left"/>
      <protection locked="0"/>
    </xf>
    <xf numFmtId="49" fontId="18" fillId="7" borderId="18" xfId="0" applyNumberFormat="1" applyFont="1" applyFill="1" applyBorder="1" applyAlignment="1" applyProtection="1">
      <alignment horizontal="left"/>
      <protection locked="0"/>
    </xf>
    <xf numFmtId="0" fontId="18" fillId="0" borderId="6" xfId="4" applyFont="1" applyBorder="1" applyAlignment="1" applyProtection="1">
      <alignment horizontal="center"/>
      <protection hidden="1"/>
    </xf>
    <xf numFmtId="170" fontId="17" fillId="0" borderId="11" xfId="3" applyNumberFormat="1" applyFont="1" applyBorder="1" applyAlignment="1" applyProtection="1">
      <alignment horizontal="center"/>
      <protection hidden="1"/>
    </xf>
    <xf numFmtId="164" fontId="41" fillId="6" borderId="53" xfId="0" applyNumberFormat="1" applyFont="1" applyFill="1" applyBorder="1" applyAlignment="1" applyProtection="1">
      <alignment horizontal="center"/>
      <protection hidden="1"/>
    </xf>
    <xf numFmtId="164" fontId="41" fillId="6" borderId="54" xfId="0" applyNumberFormat="1" applyFont="1" applyFill="1" applyBorder="1" applyAlignment="1" applyProtection="1">
      <alignment horizontal="center"/>
      <protection hidden="1"/>
    </xf>
    <xf numFmtId="164" fontId="41" fillId="6" borderId="55" xfId="0" applyNumberFormat="1" applyFont="1" applyFill="1" applyBorder="1" applyAlignment="1" applyProtection="1">
      <alignment horizontal="center"/>
      <protection hidden="1"/>
    </xf>
    <xf numFmtId="0" fontId="41" fillId="6" borderId="53" xfId="4" applyFont="1" applyFill="1" applyBorder="1" applyAlignment="1" applyProtection="1">
      <alignment horizontal="center"/>
      <protection hidden="1"/>
    </xf>
    <xf numFmtId="0" fontId="41" fillId="6" borderId="54" xfId="4" applyFont="1" applyFill="1" applyBorder="1" applyAlignment="1" applyProtection="1">
      <alignment horizontal="center"/>
      <protection hidden="1"/>
    </xf>
    <xf numFmtId="0" fontId="41" fillId="6" borderId="55" xfId="4" applyFont="1" applyFill="1" applyBorder="1" applyAlignment="1" applyProtection="1">
      <alignment horizontal="center"/>
      <protection hidden="1"/>
    </xf>
    <xf numFmtId="0" fontId="18" fillId="0" borderId="1" xfId="4" applyFont="1" applyBorder="1" applyAlignment="1" applyProtection="1">
      <alignment horizontal="center"/>
      <protection hidden="1"/>
    </xf>
    <xf numFmtId="0" fontId="18" fillId="0" borderId="11" xfId="4" applyFont="1" applyBorder="1" applyAlignment="1" applyProtection="1">
      <alignment horizontal="center"/>
      <protection hidden="1"/>
    </xf>
    <xf numFmtId="164" fontId="41" fillId="6" borderId="8" xfId="0" applyNumberFormat="1" applyFont="1" applyFill="1" applyBorder="1" applyAlignment="1" applyProtection="1">
      <alignment horizontal="center"/>
      <protection hidden="1"/>
    </xf>
    <xf numFmtId="164" fontId="41" fillId="6" borderId="6" xfId="0" applyNumberFormat="1" applyFont="1" applyFill="1" applyBorder="1" applyAlignment="1" applyProtection="1">
      <alignment horizontal="center"/>
      <protection hidden="1"/>
    </xf>
    <xf numFmtId="49" fontId="18" fillId="5" borderId="23" xfId="4" applyNumberFormat="1" applyFont="1" applyFill="1" applyBorder="1" applyAlignment="1" applyProtection="1">
      <alignment horizontal="center"/>
      <protection hidden="1"/>
    </xf>
    <xf numFmtId="0" fontId="18" fillId="7" borderId="49" xfId="4" applyFont="1" applyFill="1" applyBorder="1" applyAlignment="1" applyProtection="1">
      <alignment horizontal="left" vertical="top" wrapText="1"/>
      <protection locked="0"/>
    </xf>
    <xf numFmtId="0" fontId="18" fillId="7" borderId="0" xfId="4" applyFont="1" applyFill="1" applyAlignment="1" applyProtection="1">
      <alignment horizontal="left" vertical="top" wrapText="1"/>
      <protection locked="0"/>
    </xf>
    <xf numFmtId="0" fontId="18" fillId="7" borderId="5" xfId="4" applyFont="1" applyFill="1" applyBorder="1" applyAlignment="1" applyProtection="1">
      <alignment horizontal="left" vertical="top" wrapText="1"/>
      <protection locked="0"/>
    </xf>
    <xf numFmtId="49" fontId="18" fillId="7" borderId="18" xfId="4" applyNumberFormat="1" applyFont="1" applyFill="1" applyBorder="1" applyAlignment="1" applyProtection="1">
      <alignment horizontal="left"/>
      <protection locked="0"/>
    </xf>
    <xf numFmtId="0" fontId="18" fillId="7" borderId="12" xfId="4" applyFont="1" applyFill="1" applyBorder="1" applyAlignment="1" applyProtection="1">
      <alignment horizontal="left"/>
      <protection locked="0"/>
    </xf>
    <xf numFmtId="0" fontId="18" fillId="7" borderId="40" xfId="4" applyFont="1" applyFill="1" applyBorder="1" applyAlignment="1" applyProtection="1">
      <alignment horizontal="left"/>
      <protection locked="0"/>
    </xf>
    <xf numFmtId="0" fontId="18" fillId="7" borderId="41" xfId="4" applyFont="1" applyFill="1" applyBorder="1" applyAlignment="1" applyProtection="1">
      <alignment horizontal="left"/>
      <protection locked="0"/>
    </xf>
    <xf numFmtId="172" fontId="21" fillId="0" borderId="0" xfId="0" applyNumberFormat="1"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lignment vertical="center"/>
    </xf>
    <xf numFmtId="182" fontId="21" fillId="0" borderId="0" xfId="0" applyNumberFormat="1" applyFont="1" applyAlignment="1">
      <alignment horizontal="center" vertical="center"/>
    </xf>
    <xf numFmtId="0" fontId="21" fillId="0" borderId="0" xfId="0" applyFont="1"/>
    <xf numFmtId="182" fontId="21" fillId="0" borderId="0" xfId="0" applyNumberFormat="1" applyFont="1" applyAlignment="1">
      <alignment horizontal="left" vertical="center"/>
    </xf>
    <xf numFmtId="15" fontId="21" fillId="0" borderId="0" xfId="0" applyNumberFormat="1" applyFont="1" applyAlignment="1">
      <alignment horizontal="left" vertical="center"/>
    </xf>
    <xf numFmtId="0" fontId="0" fillId="0" borderId="0" xfId="0" applyAlignment="1">
      <alignment vertical="center"/>
    </xf>
    <xf numFmtId="49" fontId="23" fillId="0" borderId="0" xfId="0" applyNumberFormat="1" applyFont="1" applyAlignment="1">
      <alignment horizontal="left"/>
    </xf>
    <xf numFmtId="0" fontId="23" fillId="0" borderId="0" xfId="0" applyFont="1" applyAlignment="1">
      <alignment horizontal="left"/>
    </xf>
    <xf numFmtId="0" fontId="50" fillId="6" borderId="28" xfId="0" applyFont="1" applyFill="1" applyBorder="1" applyAlignment="1">
      <alignment horizontal="center"/>
    </xf>
    <xf numFmtId="0" fontId="50" fillId="6" borderId="29" xfId="0" applyFont="1" applyFill="1" applyBorder="1" applyAlignment="1">
      <alignment horizontal="center"/>
    </xf>
    <xf numFmtId="0" fontId="50" fillId="6" borderId="30" xfId="0" applyFont="1" applyFill="1" applyBorder="1" applyAlignment="1">
      <alignment horizontal="center"/>
    </xf>
    <xf numFmtId="0" fontId="23" fillId="0" borderId="21" xfId="0" applyFont="1" applyBorder="1" applyAlignment="1" applyProtection="1">
      <alignment horizontal="left" vertical="top" wrapText="1"/>
      <protection locked="0"/>
    </xf>
    <xf numFmtId="0" fontId="23" fillId="0" borderId="4" xfId="0" applyFont="1" applyBorder="1" applyAlignment="1" applyProtection="1">
      <alignment horizontal="left" vertical="top" wrapText="1"/>
      <protection locked="0"/>
    </xf>
    <xf numFmtId="0" fontId="23" fillId="0" borderId="22" xfId="0" applyFont="1" applyBorder="1" applyAlignment="1" applyProtection="1">
      <alignment horizontal="left" vertical="top" wrapText="1"/>
      <protection locked="0"/>
    </xf>
    <xf numFmtId="0" fontId="23" fillId="0" borderId="3"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5" xfId="0" applyFont="1" applyBorder="1" applyAlignment="1" applyProtection="1">
      <alignment horizontal="left" vertical="top" wrapText="1"/>
      <protection locked="0"/>
    </xf>
    <xf numFmtId="0" fontId="23" fillId="0" borderId="48" xfId="0" applyFont="1" applyBorder="1" applyAlignment="1" applyProtection="1">
      <alignment horizontal="left" vertical="top" wrapText="1"/>
      <protection locked="0"/>
    </xf>
    <xf numFmtId="0" fontId="23" fillId="0" borderId="26" xfId="0" applyFont="1" applyBorder="1" applyAlignment="1" applyProtection="1">
      <alignment horizontal="left" vertical="top" wrapText="1"/>
      <protection locked="0"/>
    </xf>
    <xf numFmtId="0" fontId="23" fillId="0" borderId="27" xfId="0" applyFont="1" applyBorder="1" applyAlignment="1" applyProtection="1">
      <alignment horizontal="left" vertical="top" wrapText="1"/>
      <protection locked="0"/>
    </xf>
    <xf numFmtId="0" fontId="27" fillId="0" borderId="15" xfId="0" applyFont="1" applyBorder="1" applyAlignment="1">
      <alignment horizontal="left" vertical="center"/>
    </xf>
    <xf numFmtId="0" fontId="27" fillId="0" borderId="67" xfId="0" applyFont="1" applyBorder="1" applyAlignment="1">
      <alignment horizontal="left" vertical="center"/>
    </xf>
    <xf numFmtId="0" fontId="27" fillId="0" borderId="15" xfId="0" applyFont="1" applyBorder="1" applyAlignment="1">
      <alignment horizontal="left" vertical="center" wrapText="1"/>
    </xf>
    <xf numFmtId="0" fontId="27" fillId="0" borderId="67" xfId="0" applyFont="1" applyBorder="1" applyAlignment="1">
      <alignment horizontal="left" vertical="center" wrapText="1"/>
    </xf>
    <xf numFmtId="0" fontId="27" fillId="0" borderId="15" xfId="0" applyFont="1" applyBorder="1" applyAlignment="1">
      <alignment vertical="center"/>
    </xf>
    <xf numFmtId="0" fontId="27" fillId="0" borderId="67" xfId="0" applyFont="1" applyBorder="1" applyAlignment="1">
      <alignment vertical="center"/>
    </xf>
    <xf numFmtId="0" fontId="49" fillId="0" borderId="0" xfId="0" applyFont="1" applyAlignment="1" applyProtection="1">
      <alignment horizontal="center" vertical="top"/>
      <protection locked="0"/>
    </xf>
    <xf numFmtId="0" fontId="48" fillId="0" borderId="0" xfId="0" applyFont="1" applyAlignment="1">
      <alignment horizontal="center" vertical="top"/>
    </xf>
    <xf numFmtId="0" fontId="119" fillId="7" borderId="38" xfId="4165" applyFont="1" applyFill="1" applyBorder="1" applyAlignment="1">
      <alignment horizontal="left" vertical="top" wrapText="1"/>
    </xf>
    <xf numFmtId="0" fontId="119" fillId="7" borderId="35" xfId="4165" applyFont="1" applyFill="1" applyBorder="1" applyAlignment="1">
      <alignment horizontal="left" vertical="top"/>
    </xf>
    <xf numFmtId="0" fontId="119" fillId="7" borderId="39" xfId="4165" applyFont="1" applyFill="1" applyBorder="1" applyAlignment="1">
      <alignment horizontal="left" vertical="top"/>
    </xf>
    <xf numFmtId="0" fontId="119" fillId="7" borderId="49" xfId="4165" applyFont="1" applyFill="1" applyBorder="1" applyAlignment="1">
      <alignment horizontal="left" vertical="top"/>
    </xf>
    <xf numFmtId="0" fontId="119" fillId="7" borderId="0" xfId="4165" applyFont="1" applyFill="1" applyAlignment="1">
      <alignment horizontal="left" vertical="top"/>
    </xf>
    <xf numFmtId="0" fontId="119" fillId="7" borderId="72" xfId="4165" applyFont="1" applyFill="1" applyBorder="1" applyAlignment="1">
      <alignment horizontal="left" vertical="top"/>
    </xf>
    <xf numFmtId="0" fontId="119" fillId="7" borderId="51" xfId="4165" applyFont="1" applyFill="1" applyBorder="1" applyAlignment="1">
      <alignment horizontal="left" vertical="top"/>
    </xf>
    <xf numFmtId="0" fontId="119" fillId="7" borderId="25" xfId="4165" applyFont="1" applyFill="1" applyBorder="1" applyAlignment="1">
      <alignment horizontal="left" vertical="top"/>
    </xf>
    <xf numFmtId="0" fontId="119" fillId="7" borderId="66" xfId="4165" applyFont="1" applyFill="1" applyBorder="1" applyAlignment="1">
      <alignment horizontal="left" vertical="top"/>
    </xf>
    <xf numFmtId="0" fontId="78" fillId="8" borderId="17" xfId="12" applyBorder="1" applyAlignment="1">
      <alignment horizontal="center"/>
    </xf>
    <xf numFmtId="0" fontId="78" fillId="8" borderId="19" xfId="12" applyBorder="1" applyAlignment="1">
      <alignment horizontal="center"/>
    </xf>
    <xf numFmtId="0" fontId="78" fillId="8" borderId="18" xfId="12" applyBorder="1" applyAlignment="1">
      <alignment horizontal="center"/>
    </xf>
    <xf numFmtId="0" fontId="78" fillId="8" borderId="6" xfId="12" applyBorder="1" applyAlignment="1">
      <alignment horizontal="center"/>
    </xf>
    <xf numFmtId="0" fontId="78" fillId="8" borderId="62" xfId="12" applyBorder="1" applyAlignment="1">
      <alignment horizontal="center"/>
    </xf>
    <xf numFmtId="0" fontId="2" fillId="0" borderId="0" xfId="8341" applyAlignment="1">
      <alignment horizontal="left"/>
    </xf>
    <xf numFmtId="44" fontId="2" fillId="0" borderId="17" xfId="8341" applyNumberFormat="1" applyBorder="1" applyAlignment="1">
      <alignment horizontal="center"/>
    </xf>
    <xf numFmtId="44" fontId="2" fillId="0" borderId="20" xfId="8341" applyNumberFormat="1" applyBorder="1" applyAlignment="1">
      <alignment horizontal="center"/>
    </xf>
    <xf numFmtId="44" fontId="27" fillId="0" borderId="12" xfId="8342" applyFont="1" applyBorder="1" applyAlignment="1" applyProtection="1">
      <alignment horizontal="center"/>
    </xf>
    <xf numFmtId="44" fontId="27" fillId="0" borderId="16" xfId="8342" applyFont="1" applyBorder="1" applyAlignment="1" applyProtection="1">
      <alignment horizontal="center"/>
    </xf>
    <xf numFmtId="44" fontId="2" fillId="0" borderId="18" xfId="8341" applyNumberFormat="1" applyBorder="1" applyAlignment="1">
      <alignment horizontal="center"/>
    </xf>
    <xf numFmtId="0" fontId="27" fillId="0" borderId="6" xfId="8341" applyFont="1" applyBorder="1" applyAlignment="1">
      <alignment horizontal="center"/>
    </xf>
    <xf numFmtId="0" fontId="27" fillId="0" borderId="2" xfId="8341" applyFont="1" applyBorder="1" applyAlignment="1">
      <alignment horizontal="center"/>
    </xf>
    <xf numFmtId="0" fontId="2" fillId="0" borderId="24" xfId="8341" applyBorder="1" applyAlignment="1">
      <alignment horizontal="left" vertical="center"/>
    </xf>
    <xf numFmtId="0" fontId="2" fillId="0" borderId="19" xfId="8341" applyBorder="1" applyAlignment="1">
      <alignment horizontal="left" vertical="center"/>
    </xf>
    <xf numFmtId="0" fontId="2" fillId="0" borderId="20" xfId="8341" applyBorder="1" applyAlignment="1">
      <alignment horizontal="left" vertical="center"/>
    </xf>
    <xf numFmtId="0" fontId="2" fillId="0" borderId="8" xfId="8341" applyBorder="1" applyAlignment="1">
      <alignment horizontal="left" vertical="center"/>
    </xf>
    <xf numFmtId="0" fontId="2" fillId="0" borderId="6" xfId="8341" applyBorder="1" applyAlignment="1">
      <alignment horizontal="left" vertical="center"/>
    </xf>
    <xf numFmtId="0" fontId="2" fillId="0" borderId="2" xfId="8341" applyBorder="1" applyAlignment="1">
      <alignment horizontal="left" vertical="center"/>
    </xf>
    <xf numFmtId="0" fontId="74" fillId="0" borderId="21" xfId="8341" applyFont="1" applyBorder="1" applyAlignment="1">
      <alignment horizontal="left" vertical="center" wrapText="1"/>
    </xf>
    <xf numFmtId="0" fontId="74" fillId="0" borderId="4" xfId="8341" applyFont="1" applyBorder="1" applyAlignment="1">
      <alignment horizontal="left" vertical="center" wrapText="1"/>
    </xf>
    <xf numFmtId="0" fontId="74" fillId="0" borderId="3" xfId="8341" applyFont="1" applyBorder="1" applyAlignment="1">
      <alignment horizontal="left" vertical="center" wrapText="1"/>
    </xf>
    <xf numFmtId="0" fontId="74" fillId="0" borderId="0" xfId="8341" applyFont="1" applyAlignment="1">
      <alignment horizontal="left" vertical="center" wrapText="1"/>
    </xf>
    <xf numFmtId="9" fontId="27" fillId="61" borderId="6" xfId="8343" applyFont="1" applyFill="1" applyBorder="1" applyAlignment="1" applyProtection="1">
      <alignment horizontal="center" vertical="center"/>
      <protection locked="0"/>
    </xf>
    <xf numFmtId="0" fontId="27" fillId="0" borderId="77" xfId="8341" applyFont="1" applyBorder="1" applyAlignment="1">
      <alignment horizontal="center" vertical="center"/>
    </xf>
    <xf numFmtId="0" fontId="27" fillId="0" borderId="47" xfId="8341" applyFont="1" applyBorder="1" applyAlignment="1">
      <alignment horizontal="center" vertical="center"/>
    </xf>
    <xf numFmtId="0" fontId="53" fillId="0" borderId="38" xfId="8341" applyFont="1" applyBorder="1" applyAlignment="1">
      <alignment horizontal="left" vertical="top" wrapText="1"/>
    </xf>
    <xf numFmtId="0" fontId="53" fillId="0" borderId="39" xfId="8341" applyFont="1" applyBorder="1" applyAlignment="1">
      <alignment horizontal="left" vertical="top" wrapText="1"/>
    </xf>
    <xf numFmtId="0" fontId="53" fillId="0" borderId="49" xfId="8341" applyFont="1" applyBorder="1" applyAlignment="1">
      <alignment horizontal="left" vertical="top" wrapText="1"/>
    </xf>
    <xf numFmtId="0" fontId="53" fillId="0" borderId="72" xfId="8341" applyFont="1" applyBorder="1" applyAlignment="1">
      <alignment horizontal="left" vertical="top" wrapText="1"/>
    </xf>
    <xf numFmtId="0" fontId="53" fillId="0" borderId="51" xfId="8341" applyFont="1" applyBorder="1" applyAlignment="1">
      <alignment horizontal="left" vertical="top" wrapText="1"/>
    </xf>
    <xf numFmtId="0" fontId="53" fillId="0" borderId="66" xfId="8341" applyFont="1" applyBorder="1" applyAlignment="1">
      <alignment horizontal="left" vertical="top" wrapText="1"/>
    </xf>
    <xf numFmtId="0" fontId="27" fillId="0" borderId="26" xfId="8341" applyFont="1" applyBorder="1" applyAlignment="1">
      <alignment horizontal="center"/>
    </xf>
    <xf numFmtId="9" fontId="27" fillId="0" borderId="11" xfId="8341" applyNumberFormat="1" applyFont="1" applyBorder="1" applyAlignment="1">
      <alignment horizontal="center"/>
    </xf>
    <xf numFmtId="0" fontId="27" fillId="0" borderId="11" xfId="8341" applyFont="1" applyBorder="1" applyAlignment="1">
      <alignment horizontal="center"/>
    </xf>
    <xf numFmtId="44" fontId="27" fillId="0" borderId="12" xfId="8341" applyNumberFormat="1" applyFont="1" applyBorder="1" applyAlignment="1">
      <alignment horizontal="center"/>
    </xf>
    <xf numFmtId="44" fontId="27" fillId="0" borderId="41" xfId="8341" applyNumberFormat="1" applyFont="1" applyBorder="1" applyAlignment="1">
      <alignment horizontal="center"/>
    </xf>
    <xf numFmtId="9" fontId="27" fillId="61" borderId="17" xfId="8343" applyFont="1" applyFill="1" applyBorder="1" applyAlignment="1" applyProtection="1">
      <alignment horizontal="center" vertical="center"/>
      <protection locked="0"/>
    </xf>
    <xf numFmtId="9" fontId="27" fillId="61" borderId="18" xfId="8343" applyFont="1" applyFill="1" applyBorder="1" applyAlignment="1" applyProtection="1">
      <alignment horizontal="center" vertical="center"/>
      <protection locked="0"/>
    </xf>
    <xf numFmtId="0" fontId="2" fillId="61" borderId="17" xfId="8341" applyFill="1" applyBorder="1" applyAlignment="1" applyProtection="1">
      <alignment horizontal="center"/>
      <protection locked="0"/>
    </xf>
    <xf numFmtId="0" fontId="2" fillId="61" borderId="18" xfId="8341" applyFill="1" applyBorder="1" applyAlignment="1" applyProtection="1">
      <alignment horizontal="center"/>
      <protection locked="0"/>
    </xf>
    <xf numFmtId="0" fontId="2" fillId="0" borderId="46" xfId="8341" applyBorder="1" applyAlignment="1">
      <alignment horizontal="left" vertical="center"/>
    </xf>
    <xf numFmtId="0" fontId="2" fillId="0" borderId="47" xfId="8341" applyBorder="1" applyAlignment="1">
      <alignment horizontal="left" vertical="center"/>
    </xf>
    <xf numFmtId="0" fontId="2" fillId="0" borderId="42" xfId="8341" applyBorder="1" applyAlignment="1">
      <alignment horizontal="left" vertical="center"/>
    </xf>
    <xf numFmtId="0" fontId="27" fillId="0" borderId="28" xfId="8341" applyFont="1" applyBorder="1" applyAlignment="1">
      <alignment horizontal="center" vertical="center"/>
    </xf>
    <xf numFmtId="0" fontId="27" fillId="0" borderId="29" xfId="8341" applyFont="1" applyBorder="1" applyAlignment="1">
      <alignment horizontal="center" vertical="center"/>
    </xf>
    <xf numFmtId="0" fontId="27" fillId="0" borderId="30" xfId="8341" applyFont="1" applyBorder="1" applyAlignment="1">
      <alignment horizontal="center" vertical="center"/>
    </xf>
    <xf numFmtId="0" fontId="27" fillId="61" borderId="54" xfId="8341" applyFont="1" applyFill="1" applyBorder="1" applyAlignment="1" applyProtection="1">
      <alignment horizontal="center" vertical="center"/>
      <protection locked="0"/>
    </xf>
    <xf numFmtId="0" fontId="27" fillId="61" borderId="55" xfId="8341" applyFont="1" applyFill="1" applyBorder="1" applyAlignment="1" applyProtection="1">
      <alignment horizontal="center" vertical="center"/>
      <protection locked="0"/>
    </xf>
    <xf numFmtId="44" fontId="0" fillId="0" borderId="17" xfId="8342" applyFont="1" applyBorder="1" applyAlignment="1" applyProtection="1">
      <alignment horizontal="center" vertical="center"/>
    </xf>
    <xf numFmtId="44" fontId="0" fillId="0" borderId="20" xfId="8342" applyFont="1" applyBorder="1" applyAlignment="1" applyProtection="1">
      <alignment horizontal="center" vertical="center"/>
    </xf>
    <xf numFmtId="44" fontId="0" fillId="0" borderId="12" xfId="8342" applyFont="1" applyBorder="1" applyAlignment="1" applyProtection="1">
      <alignment horizontal="center" vertical="center"/>
    </xf>
    <xf numFmtId="44" fontId="0" fillId="0" borderId="41" xfId="8342" applyFont="1" applyBorder="1" applyAlignment="1" applyProtection="1">
      <alignment horizontal="center" vertical="center"/>
    </xf>
    <xf numFmtId="0" fontId="2" fillId="0" borderId="24" xfId="8341" applyBorder="1" applyAlignment="1">
      <alignment horizontal="left" vertical="center" wrapText="1"/>
    </xf>
    <xf numFmtId="0" fontId="2" fillId="0" borderId="19" xfId="8341" applyBorder="1" applyAlignment="1">
      <alignment horizontal="left" vertical="center" wrapText="1"/>
    </xf>
    <xf numFmtId="0" fontId="2" fillId="0" borderId="20" xfId="8341" applyBorder="1" applyAlignment="1">
      <alignment horizontal="left" vertical="center" wrapText="1"/>
    </xf>
    <xf numFmtId="0" fontId="27" fillId="0" borderId="3" xfId="8341" applyFont="1" applyBorder="1" applyAlignment="1">
      <alignment horizontal="center" vertical="center"/>
    </xf>
    <xf numFmtId="0" fontId="27" fillId="0" borderId="0" xfId="8341" applyFont="1" applyAlignment="1">
      <alignment horizontal="center" vertical="center"/>
    </xf>
    <xf numFmtId="0" fontId="127" fillId="0" borderId="17" xfId="8341" applyFont="1" applyBorder="1" applyAlignment="1">
      <alignment horizontal="center"/>
    </xf>
    <xf numFmtId="0" fontId="127" fillId="0" borderId="19" xfId="8341" applyFont="1" applyBorder="1" applyAlignment="1">
      <alignment horizontal="center"/>
    </xf>
    <xf numFmtId="0" fontId="127" fillId="0" borderId="20" xfId="8341" applyFont="1" applyBorder="1" applyAlignment="1">
      <alignment horizontal="center"/>
    </xf>
    <xf numFmtId="0" fontId="27" fillId="0" borderId="17" xfId="8341" applyFont="1" applyBorder="1" applyAlignment="1">
      <alignment horizontal="center"/>
    </xf>
    <xf numFmtId="0" fontId="27" fillId="0" borderId="18" xfId="8341" applyFont="1" applyBorder="1" applyAlignment="1">
      <alignment horizontal="center"/>
    </xf>
    <xf numFmtId="0" fontId="128" fillId="62" borderId="38" xfId="8344" applyFont="1" applyFill="1" applyBorder="1" applyAlignment="1" applyProtection="1">
      <alignment horizontal="left" vertical="top" wrapText="1"/>
      <protection locked="0"/>
    </xf>
    <xf numFmtId="0" fontId="128" fillId="62" borderId="35" xfId="8344" applyFont="1" applyFill="1" applyBorder="1" applyAlignment="1" applyProtection="1">
      <alignment horizontal="left" vertical="top"/>
      <protection locked="0"/>
    </xf>
    <xf numFmtId="0" fontId="128" fillId="62" borderId="36" xfId="8344" applyFont="1" applyFill="1" applyBorder="1" applyAlignment="1" applyProtection="1">
      <alignment horizontal="left" vertical="top"/>
      <protection locked="0"/>
    </xf>
    <xf numFmtId="0" fontId="128" fillId="62" borderId="49" xfId="8344" applyFont="1" applyFill="1" applyBorder="1" applyAlignment="1" applyProtection="1">
      <alignment horizontal="left" vertical="top"/>
      <protection locked="0"/>
    </xf>
    <xf numFmtId="0" fontId="128" fillId="62" borderId="0" xfId="8344" applyFont="1" applyFill="1" applyAlignment="1" applyProtection="1">
      <alignment horizontal="left" vertical="top"/>
      <protection locked="0"/>
    </xf>
    <xf numFmtId="0" fontId="128" fillId="62" borderId="5" xfId="8344" applyFont="1" applyFill="1" applyBorder="1" applyAlignment="1" applyProtection="1">
      <alignment horizontal="left" vertical="top"/>
      <protection locked="0"/>
    </xf>
    <xf numFmtId="0" fontId="128" fillId="62" borderId="51" xfId="8344" applyFont="1" applyFill="1" applyBorder="1" applyAlignment="1" applyProtection="1">
      <alignment horizontal="left" vertical="top"/>
      <protection locked="0"/>
    </xf>
    <xf numFmtId="0" fontId="128" fillId="62" borderId="25" xfId="8344" applyFont="1" applyFill="1" applyBorder="1" applyAlignment="1" applyProtection="1">
      <alignment horizontal="left" vertical="top"/>
      <protection locked="0"/>
    </xf>
    <xf numFmtId="0" fontId="128" fillId="62" borderId="37" xfId="8344" applyFont="1" applyFill="1" applyBorder="1" applyAlignment="1" applyProtection="1">
      <alignment horizontal="left" vertical="top"/>
      <protection locked="0"/>
    </xf>
    <xf numFmtId="44" fontId="27" fillId="0" borderId="17" xfId="8342" applyFont="1" applyFill="1" applyBorder="1" applyAlignment="1" applyProtection="1">
      <alignment horizontal="center"/>
    </xf>
    <xf numFmtId="44" fontId="27" fillId="0" borderId="18" xfId="8342" applyFont="1" applyFill="1" applyBorder="1" applyAlignment="1" applyProtection="1">
      <alignment horizontal="center"/>
    </xf>
    <xf numFmtId="0" fontId="27" fillId="0" borderId="20" xfId="8341" applyFont="1" applyBorder="1" applyAlignment="1">
      <alignment horizontal="center"/>
    </xf>
    <xf numFmtId="44" fontId="27" fillId="0" borderId="20" xfId="8342" applyFont="1" applyFill="1" applyBorder="1" applyAlignment="1" applyProtection="1">
      <alignment horizontal="center"/>
    </xf>
    <xf numFmtId="0" fontId="33" fillId="0" borderId="32" xfId="0" applyFont="1" applyBorder="1"/>
    <xf numFmtId="0" fontId="33" fillId="0" borderId="26" xfId="0" applyFont="1" applyBorder="1"/>
    <xf numFmtId="0" fontId="33" fillId="0" borderId="0" xfId="0" applyFont="1"/>
    <xf numFmtId="0" fontId="31" fillId="0" borderId="26" xfId="0" applyFont="1" applyBorder="1" applyAlignment="1">
      <alignment horizontal="center"/>
    </xf>
    <xf numFmtId="0" fontId="33" fillId="0" borderId="4" xfId="0" applyFont="1" applyBorder="1"/>
  </cellXfs>
  <cellStyles count="9170">
    <cellStyle name="20% - Accent1" xfId="23" builtinId="30" customBuiltin="1"/>
    <cellStyle name="20% - Accent1 10" xfId="445" xr:uid="{00000000-0005-0000-0000-000001000000}"/>
    <cellStyle name="20% - Accent1 10 2" xfId="1271" xr:uid="{3781B88E-781C-492C-ACF6-859D9EBD3AEC}"/>
    <cellStyle name="20% - Accent1 10 2 2" xfId="5403" xr:uid="{32EA3F1A-E2E3-4106-90D2-3B629306DD4A}"/>
    <cellStyle name="20% - Accent1 10 3" xfId="2099" xr:uid="{822246B7-3D73-4427-9505-07C9E6396295}"/>
    <cellStyle name="20% - Accent1 10 3 2" xfId="6230" xr:uid="{CDC49749-A28E-400D-82E6-D27148D22A98}"/>
    <cellStyle name="20% - Accent1 10 4" xfId="2923" xr:uid="{4537A6F5-0D78-4515-B955-903A28D46377}"/>
    <cellStyle name="20% - Accent1 10 4 2" xfId="7054" xr:uid="{2A75C607-6E23-4D60-A6E0-8AC8A0BEF408}"/>
    <cellStyle name="20% - Accent1 10 5" xfId="3747" xr:uid="{1BDCFE74-665A-4E4F-BFF1-0D46E60660A5}"/>
    <cellStyle name="20% - Accent1 10 5 2" xfId="7906" xr:uid="{68BA52D4-C563-4D43-A00D-0CABC6652D1C}"/>
    <cellStyle name="20% - Accent1 10 6" xfId="4577" xr:uid="{5C8DDF9E-EAEA-4332-BA1C-C2E418293C7F}"/>
    <cellStyle name="20% - Accent1 10 7" xfId="8753" xr:uid="{0E21608B-F85E-45A4-9E78-D23290DD0CD5}"/>
    <cellStyle name="20% - Accent1 11" xfId="458" xr:uid="{00000000-0005-0000-0000-000002000000}"/>
    <cellStyle name="20% - Accent1 11 2" xfId="1284" xr:uid="{FF8D50DF-12BD-4E15-A1B4-5F9EB4396397}"/>
    <cellStyle name="20% - Accent1 11 2 2" xfId="5416" xr:uid="{C9C25485-1324-40DA-A54B-DDAEBD257802}"/>
    <cellStyle name="20% - Accent1 11 3" xfId="2112" xr:uid="{CCB6F075-C6EE-42C1-B3E0-4256763AAAE0}"/>
    <cellStyle name="20% - Accent1 11 3 2" xfId="6243" xr:uid="{2F194AA6-B21E-4A7B-A953-EF460175BD81}"/>
    <cellStyle name="20% - Accent1 11 4" xfId="2936" xr:uid="{4F51A3E9-9F90-4CDD-B83A-4707019F9C2E}"/>
    <cellStyle name="20% - Accent1 11 4 2" xfId="7067" xr:uid="{34058B0C-6722-4075-ABB6-058AB1106E92}"/>
    <cellStyle name="20% - Accent1 11 5" xfId="3760" xr:uid="{0A9DE3B2-8FD5-4856-AFA2-BD20CDEB2FEF}"/>
    <cellStyle name="20% - Accent1 11 5 2" xfId="7919" xr:uid="{805728F3-A435-445D-AC64-DE0D65AFC2FF}"/>
    <cellStyle name="20% - Accent1 11 6" xfId="4590" xr:uid="{672DC002-AA6C-41F3-A44B-7917A641AE91}"/>
    <cellStyle name="20% - Accent1 11 7" xfId="8766" xr:uid="{0116E6D8-092F-44B5-B7A4-EEAA5CEF578D}"/>
    <cellStyle name="20% - Accent1 12" xfId="863" xr:uid="{3A51A1AA-6310-45AF-9054-99D558995A11}"/>
    <cellStyle name="20% - Accent1 12 2" xfId="4995" xr:uid="{EC75F3B5-35FD-4809-BAB4-A5B509748C70}"/>
    <cellStyle name="20% - Accent1 13" xfId="1692" xr:uid="{E93729EE-11D4-4A00-8117-6E6B48DF1704}"/>
    <cellStyle name="20% - Accent1 13 2" xfId="5823" xr:uid="{03AF151A-3775-42E9-B6D2-968230C7C2EB}"/>
    <cellStyle name="20% - Accent1 14" xfId="2516" xr:uid="{3BB481C7-62BC-4FFF-8000-1AAC33788DEF}"/>
    <cellStyle name="20% - Accent1 14 2" xfId="6647" xr:uid="{8EF0935B-CB79-4E71-A69B-5EC1705C4660}"/>
    <cellStyle name="20% - Accent1 15" xfId="3340" xr:uid="{EE82E477-B8FA-43DC-A5CC-3F524FC21657}"/>
    <cellStyle name="20% - Accent1 15 2" xfId="7499" xr:uid="{D78EBAD9-8615-4986-9FB2-48C9FE836BAB}"/>
    <cellStyle name="20% - Accent1 16" xfId="4169" xr:uid="{189C56D4-1358-49E2-A52A-49D20C7239B2}"/>
    <cellStyle name="20% - Accent1 17" xfId="8346" xr:uid="{C1C168C8-E236-4BD4-B461-D992FDB19BF0}"/>
    <cellStyle name="20% - Accent1 2" xfId="52" xr:uid="{00000000-0005-0000-0000-000003000000}"/>
    <cellStyle name="20% - Accent1 2 10" xfId="4184" xr:uid="{B29B81F3-9547-491C-A764-0A5DF28DE314}"/>
    <cellStyle name="20% - Accent1 2 11" xfId="8360" xr:uid="{510FB940-3B74-4A54-BD20-ECC9F9D2EB7E}"/>
    <cellStyle name="20% - Accent1 2 2" xfId="105" xr:uid="{00000000-0005-0000-0000-000004000000}"/>
    <cellStyle name="20% - Accent1 2 2 10" xfId="8413" xr:uid="{1B507C57-C704-47CA-9452-E0F4B9E5A17D}"/>
    <cellStyle name="20% - Accent1 2 2 2" xfId="210" xr:uid="{00000000-0005-0000-0000-000005000000}"/>
    <cellStyle name="20% - Accent1 2 2 2 2" xfId="419" xr:uid="{00000000-0005-0000-0000-000006000000}"/>
    <cellStyle name="20% - Accent1 2 2 2 2 2" xfId="836" xr:uid="{00000000-0005-0000-0000-000007000000}"/>
    <cellStyle name="20% - Accent1 2 2 2 2 2 2" xfId="1662" xr:uid="{1A622E28-0FDD-4DED-81AA-52726606252A}"/>
    <cellStyle name="20% - Accent1 2 2 2 2 2 2 2" xfId="5794" xr:uid="{32B734CE-2A09-478A-A4A5-687EA8D22210}"/>
    <cellStyle name="20% - Accent1 2 2 2 2 2 3" xfId="2490" xr:uid="{42E770C3-33B2-4846-A9A3-D2B8FB59B422}"/>
    <cellStyle name="20% - Accent1 2 2 2 2 2 3 2" xfId="6621" xr:uid="{98862D32-94A5-4156-A142-61581ED743AA}"/>
    <cellStyle name="20% - Accent1 2 2 2 2 2 4" xfId="3314" xr:uid="{1AAB2234-89B9-4B85-82FB-BBDC263E66B5}"/>
    <cellStyle name="20% - Accent1 2 2 2 2 2 4 2" xfId="7445" xr:uid="{1D619CA1-F466-4B40-9C1D-BDD8B71B3127}"/>
    <cellStyle name="20% - Accent1 2 2 2 2 2 5" xfId="4138" xr:uid="{1CDDA79D-3B45-4854-8A02-C9CCB12A0EC5}"/>
    <cellStyle name="20% - Accent1 2 2 2 2 2 5 2" xfId="8297" xr:uid="{DEE54AB1-82B2-4EF8-B281-7D11ACED5DCC}"/>
    <cellStyle name="20% - Accent1 2 2 2 2 2 6" xfId="4968" xr:uid="{84340858-E1C5-4E66-B6ED-11C630F88968}"/>
    <cellStyle name="20% - Accent1 2 2 2 2 2 7" xfId="9144" xr:uid="{6B82F9C3-4F7B-4BD7-8474-0F0F48754C3B}"/>
    <cellStyle name="20% - Accent1 2 2 2 2 3" xfId="1245" xr:uid="{E9351F0E-7315-40D6-AEF8-0F331074B803}"/>
    <cellStyle name="20% - Accent1 2 2 2 2 3 2" xfId="5377" xr:uid="{9AAFEB62-52FE-4428-A311-679961C98284}"/>
    <cellStyle name="20% - Accent1 2 2 2 2 4" xfId="2073" xr:uid="{11F1981F-6C80-4A46-AF65-E5D4478BE735}"/>
    <cellStyle name="20% - Accent1 2 2 2 2 4 2" xfId="6204" xr:uid="{E88517E0-A398-4393-B57F-BFF220105CEB}"/>
    <cellStyle name="20% - Accent1 2 2 2 2 5" xfId="2897" xr:uid="{9ECC4EB6-250A-4798-9BDC-83DF4D0CEE32}"/>
    <cellStyle name="20% - Accent1 2 2 2 2 5 2" xfId="7028" xr:uid="{479DF93B-7BFF-4D56-B862-18046B971EC9}"/>
    <cellStyle name="20% - Accent1 2 2 2 2 6" xfId="3721" xr:uid="{C4ED45A0-ADC4-44F7-ADA9-A841940DF791}"/>
    <cellStyle name="20% - Accent1 2 2 2 2 6 2" xfId="7880" xr:uid="{8EE09BF2-4897-40EF-803F-AF9513943506}"/>
    <cellStyle name="20% - Accent1 2 2 2 2 7" xfId="4551" xr:uid="{721EBFED-612C-41AF-996D-FDA574D279C7}"/>
    <cellStyle name="20% - Accent1 2 2 2 2 8" xfId="8727" xr:uid="{F07DBE86-CB5B-4BD2-AA77-324F22AC8201}"/>
    <cellStyle name="20% - Accent1 2 2 2 3" xfId="628" xr:uid="{00000000-0005-0000-0000-000008000000}"/>
    <cellStyle name="20% - Accent1 2 2 2 3 2" xfId="1454" xr:uid="{34202630-47FB-47A0-8AE4-666D6F2D86F0}"/>
    <cellStyle name="20% - Accent1 2 2 2 3 2 2" xfId="5586" xr:uid="{787F6CA4-CC33-49AC-BE41-6FC207D33FAD}"/>
    <cellStyle name="20% - Accent1 2 2 2 3 3" xfId="2282" xr:uid="{0527DCF7-CD00-46CB-AA10-6B7DDBAB7793}"/>
    <cellStyle name="20% - Accent1 2 2 2 3 3 2" xfId="6413" xr:uid="{B1D5214A-4231-4F6F-9930-E0CFEC750E3F}"/>
    <cellStyle name="20% - Accent1 2 2 2 3 4" xfId="3106" xr:uid="{43C65505-3325-485E-BA58-F7208F8B6824}"/>
    <cellStyle name="20% - Accent1 2 2 2 3 4 2" xfId="7237" xr:uid="{B5DAFDAA-E6CA-4A1B-8386-7761912AE470}"/>
    <cellStyle name="20% - Accent1 2 2 2 3 5" xfId="3930" xr:uid="{BD0EE4DE-6DBB-4806-961B-B15218DFA82C}"/>
    <cellStyle name="20% - Accent1 2 2 2 3 5 2" xfId="8089" xr:uid="{66727D82-9AA0-4845-834E-67BE343620EF}"/>
    <cellStyle name="20% - Accent1 2 2 2 3 6" xfId="4760" xr:uid="{B65F65B0-17C1-4439-B1C8-93819510A04D}"/>
    <cellStyle name="20% - Accent1 2 2 2 3 7" xfId="8936" xr:uid="{360FC9C9-C40B-4C89-A1EE-4257E1C9392D}"/>
    <cellStyle name="20% - Accent1 2 2 2 4" xfId="1036" xr:uid="{A8586297-4F5B-45FF-A8A9-1F1F76B22D0D}"/>
    <cellStyle name="20% - Accent1 2 2 2 4 2" xfId="5168" xr:uid="{99275985-69A6-4EE2-B2DB-9EF442F184D5}"/>
    <cellStyle name="20% - Accent1 2 2 2 5" xfId="1864" xr:uid="{B8E50F09-906C-4016-8C8B-C1A680391E08}"/>
    <cellStyle name="20% - Accent1 2 2 2 5 2" xfId="5995" xr:uid="{7EF99356-1C80-432C-955C-DC0D2CCF4E26}"/>
    <cellStyle name="20% - Accent1 2 2 2 6" xfId="2688" xr:uid="{2134183A-8F83-413E-9B34-9DC273EA1C02}"/>
    <cellStyle name="20% - Accent1 2 2 2 6 2" xfId="6819" xr:uid="{E5F3F41B-AC22-4C0D-8540-076C78F34950}"/>
    <cellStyle name="20% - Accent1 2 2 2 7" xfId="3512" xr:uid="{F9E1C6DE-8201-48A5-8750-4B311A031988}"/>
    <cellStyle name="20% - Accent1 2 2 2 7 2" xfId="7671" xr:uid="{9193D545-7DE1-47A6-A079-AC246C11F4D5}"/>
    <cellStyle name="20% - Accent1 2 2 2 8" xfId="4342" xr:uid="{E68DC95C-0123-48D2-8B10-7FA90E8D81FB}"/>
    <cellStyle name="20% - Accent1 2 2 2 9" xfId="8518" xr:uid="{2763E5B3-A02D-47A6-9633-D2C4C1348BA5}"/>
    <cellStyle name="20% - Accent1 2 2 3" xfId="315" xr:uid="{00000000-0005-0000-0000-000009000000}"/>
    <cellStyle name="20% - Accent1 2 2 3 2" xfId="732" xr:uid="{00000000-0005-0000-0000-00000A000000}"/>
    <cellStyle name="20% - Accent1 2 2 3 2 2" xfId="1558" xr:uid="{C2DBA0CF-52EB-4661-8453-445D163B0684}"/>
    <cellStyle name="20% - Accent1 2 2 3 2 2 2" xfId="5690" xr:uid="{C9840AB9-C249-4A92-A072-178EEA508F4C}"/>
    <cellStyle name="20% - Accent1 2 2 3 2 3" xfId="2386" xr:uid="{2AD04AA7-D987-4370-A757-197AFC06FB49}"/>
    <cellStyle name="20% - Accent1 2 2 3 2 3 2" xfId="6517" xr:uid="{AAEB401C-A77D-41C1-870E-EB599349CDF7}"/>
    <cellStyle name="20% - Accent1 2 2 3 2 4" xfId="3210" xr:uid="{6E3100F6-F811-4548-8863-57A715B1C3F7}"/>
    <cellStyle name="20% - Accent1 2 2 3 2 4 2" xfId="7341" xr:uid="{FF387715-D191-46A6-8224-9FD2B452870C}"/>
    <cellStyle name="20% - Accent1 2 2 3 2 5" xfId="4034" xr:uid="{C526B3D1-FA32-4341-98D1-57EAB18E44E6}"/>
    <cellStyle name="20% - Accent1 2 2 3 2 5 2" xfId="8193" xr:uid="{72E1CA4C-0A0E-4D4D-94A5-68A2FEF1C459}"/>
    <cellStyle name="20% - Accent1 2 2 3 2 6" xfId="4864" xr:uid="{D9D82204-975D-446F-8C2A-8D61D22E2500}"/>
    <cellStyle name="20% - Accent1 2 2 3 2 7" xfId="9040" xr:uid="{1DF20E7F-0AAF-4DD2-B614-9535FCE3C79B}"/>
    <cellStyle name="20% - Accent1 2 2 3 3" xfId="1141" xr:uid="{79736EE5-742F-430F-A463-4AA892BA7B68}"/>
    <cellStyle name="20% - Accent1 2 2 3 3 2" xfId="5273" xr:uid="{E0219E32-D371-489F-AC60-2242BE6BCBBC}"/>
    <cellStyle name="20% - Accent1 2 2 3 4" xfId="1969" xr:uid="{40385586-70FB-4FCC-8A49-3F08AC2DCD4D}"/>
    <cellStyle name="20% - Accent1 2 2 3 4 2" xfId="6100" xr:uid="{D2D7D2B9-6F9E-4011-8F1B-0F2DC1B1CE9C}"/>
    <cellStyle name="20% - Accent1 2 2 3 5" xfId="2793" xr:uid="{1BF7ED38-03B6-4DB4-840C-5E56A5453170}"/>
    <cellStyle name="20% - Accent1 2 2 3 5 2" xfId="6924" xr:uid="{53B8867F-9B71-40D9-B772-7E296D9E5D91}"/>
    <cellStyle name="20% - Accent1 2 2 3 6" xfId="3617" xr:uid="{D8B48561-982A-463C-9C9F-6C5BF9BDC9CD}"/>
    <cellStyle name="20% - Accent1 2 2 3 6 2" xfId="7776" xr:uid="{CE17BE46-579C-4E5C-8381-51C1BD9EC63B}"/>
    <cellStyle name="20% - Accent1 2 2 3 7" xfId="4447" xr:uid="{EB188BC7-A5A3-4304-B857-7C672299F291}"/>
    <cellStyle name="20% - Accent1 2 2 3 8" xfId="8623" xr:uid="{F59D1074-182D-4641-ACE5-3EDB37E3FBF2}"/>
    <cellStyle name="20% - Accent1 2 2 4" xfId="524" xr:uid="{00000000-0005-0000-0000-00000B000000}"/>
    <cellStyle name="20% - Accent1 2 2 4 2" xfId="1350" xr:uid="{EAE9924D-71D3-4A3F-8A50-E92775D1FE92}"/>
    <cellStyle name="20% - Accent1 2 2 4 2 2" xfId="5482" xr:uid="{89504CDE-B9EC-4606-9259-283F0C3B6B44}"/>
    <cellStyle name="20% - Accent1 2 2 4 3" xfId="2178" xr:uid="{16C344F4-62BF-4399-A4B6-FF5184B24D3C}"/>
    <cellStyle name="20% - Accent1 2 2 4 3 2" xfId="6309" xr:uid="{4E2FA3C9-AB29-4AD5-832A-9BAAA878DB88}"/>
    <cellStyle name="20% - Accent1 2 2 4 4" xfId="3002" xr:uid="{0278F103-F33E-4D6F-A401-642DC2ADD42F}"/>
    <cellStyle name="20% - Accent1 2 2 4 4 2" xfId="7133" xr:uid="{B97D8DBD-AC0A-4092-B420-709AA06AA6F1}"/>
    <cellStyle name="20% - Accent1 2 2 4 5" xfId="3826" xr:uid="{67ACF97C-6B04-433A-868D-9BD397E567B0}"/>
    <cellStyle name="20% - Accent1 2 2 4 5 2" xfId="7985" xr:uid="{5D8E22AC-1707-4A92-BDD1-0F1CB7E16054}"/>
    <cellStyle name="20% - Accent1 2 2 4 6" xfId="4656" xr:uid="{81F7562C-8533-44EB-9FAC-E245C5043664}"/>
    <cellStyle name="20% - Accent1 2 2 4 7" xfId="8832" xr:uid="{5B021578-E37A-4E59-B4BB-76A1E252C78A}"/>
    <cellStyle name="20% - Accent1 2 2 5" xfId="931" xr:uid="{E9B37B85-6855-4C9E-8608-86D9BCD5EEFA}"/>
    <cellStyle name="20% - Accent1 2 2 5 2" xfId="5063" xr:uid="{1384D77F-9D94-4974-BE9F-A9F270F38996}"/>
    <cellStyle name="20% - Accent1 2 2 6" xfId="1759" xr:uid="{EBF05F14-2C70-4C36-B99B-121CE0F04E1E}"/>
    <cellStyle name="20% - Accent1 2 2 6 2" xfId="5890" xr:uid="{BEE5019E-081A-43EC-A8A4-108187A64E93}"/>
    <cellStyle name="20% - Accent1 2 2 7" xfId="2583" xr:uid="{8E38160A-E69B-4A21-8429-FFEC8F7B6216}"/>
    <cellStyle name="20% - Accent1 2 2 7 2" xfId="6714" xr:uid="{56984B03-3E67-434C-A6AC-D703D8076F8D}"/>
    <cellStyle name="20% - Accent1 2 2 8" xfId="3407" xr:uid="{4B69F3A8-B5C3-4FD8-BBC9-7994EA71B3AB}"/>
    <cellStyle name="20% - Accent1 2 2 8 2" xfId="7566" xr:uid="{B227F47C-E9FB-4B2C-9A11-985D8FED531B}"/>
    <cellStyle name="20% - Accent1 2 2 9" xfId="4237" xr:uid="{E4D42ECB-46CB-47E2-BDDC-F8BE579FD2DC}"/>
    <cellStyle name="20% - Accent1 2 3" xfId="158" xr:uid="{00000000-0005-0000-0000-00000C000000}"/>
    <cellStyle name="20% - Accent1 2 3 2" xfId="367" xr:uid="{00000000-0005-0000-0000-00000D000000}"/>
    <cellStyle name="20% - Accent1 2 3 2 2" xfId="784" xr:uid="{00000000-0005-0000-0000-00000E000000}"/>
    <cellStyle name="20% - Accent1 2 3 2 2 2" xfId="1610" xr:uid="{4C14F016-8D6B-4ECA-A24E-3AFC4E901B0A}"/>
    <cellStyle name="20% - Accent1 2 3 2 2 2 2" xfId="5742" xr:uid="{C60BEDC2-C45B-4442-95A3-357893E66475}"/>
    <cellStyle name="20% - Accent1 2 3 2 2 3" xfId="2438" xr:uid="{F398B391-E738-4CFF-A38A-162DD0CAD03D}"/>
    <cellStyle name="20% - Accent1 2 3 2 2 3 2" xfId="6569" xr:uid="{4F23FBBE-C132-488E-8334-1E8319C1C921}"/>
    <cellStyle name="20% - Accent1 2 3 2 2 4" xfId="3262" xr:uid="{4297A62C-A858-4DDE-95D1-29F5FF6D8464}"/>
    <cellStyle name="20% - Accent1 2 3 2 2 4 2" xfId="7393" xr:uid="{EFBC8C36-FD49-4100-A691-573EF6406ADC}"/>
    <cellStyle name="20% - Accent1 2 3 2 2 5" xfId="4086" xr:uid="{97D41CBB-AD01-4B51-854D-41B993474E83}"/>
    <cellStyle name="20% - Accent1 2 3 2 2 5 2" xfId="8245" xr:uid="{7AEE53AA-0B56-4504-B233-7A000EBC7060}"/>
    <cellStyle name="20% - Accent1 2 3 2 2 6" xfId="4916" xr:uid="{4A66004E-200B-4AD6-AFF4-A4A03772B783}"/>
    <cellStyle name="20% - Accent1 2 3 2 2 7" xfId="9092" xr:uid="{23D86043-E8BE-4E7A-B190-5B79A785C771}"/>
    <cellStyle name="20% - Accent1 2 3 2 3" xfId="1193" xr:uid="{3545C6C7-406C-4AB2-A068-8D411223A435}"/>
    <cellStyle name="20% - Accent1 2 3 2 3 2" xfId="5325" xr:uid="{E3044A22-CEE5-41E8-A545-B0B02684DA17}"/>
    <cellStyle name="20% - Accent1 2 3 2 4" xfId="2021" xr:uid="{B1AB6B65-328B-4201-80DA-45C254DC3215}"/>
    <cellStyle name="20% - Accent1 2 3 2 4 2" xfId="6152" xr:uid="{CFD42916-3923-43E8-84D4-C9E6790D3915}"/>
    <cellStyle name="20% - Accent1 2 3 2 5" xfId="2845" xr:uid="{F088BF85-1185-42F2-B034-033352925230}"/>
    <cellStyle name="20% - Accent1 2 3 2 5 2" xfId="6976" xr:uid="{46AA3FA8-D0B9-4FAD-9B91-9C7CD5A4A54C}"/>
    <cellStyle name="20% - Accent1 2 3 2 6" xfId="3669" xr:uid="{1AC018DF-6D58-4173-ADB4-E610CFE8B93E}"/>
    <cellStyle name="20% - Accent1 2 3 2 6 2" xfId="7828" xr:uid="{C90E12F5-A57E-45B8-AA38-5CDC86E666CF}"/>
    <cellStyle name="20% - Accent1 2 3 2 7" xfId="4499" xr:uid="{381C3009-85DC-495C-BB46-FFAE41943389}"/>
    <cellStyle name="20% - Accent1 2 3 2 8" xfId="8675" xr:uid="{55FA6872-16CC-4431-9F0D-804B06FA162B}"/>
    <cellStyle name="20% - Accent1 2 3 3" xfId="576" xr:uid="{00000000-0005-0000-0000-00000F000000}"/>
    <cellStyle name="20% - Accent1 2 3 3 2" xfId="1402" xr:uid="{1978E1A7-D7A8-44F2-AA06-1009393D5C2E}"/>
    <cellStyle name="20% - Accent1 2 3 3 2 2" xfId="5534" xr:uid="{C4A63BD4-05B6-4527-A344-AD82B394DB65}"/>
    <cellStyle name="20% - Accent1 2 3 3 3" xfId="2230" xr:uid="{FD6D82B3-90E4-4C5F-B04D-A3E42BBF7CD3}"/>
    <cellStyle name="20% - Accent1 2 3 3 3 2" xfId="6361" xr:uid="{9F3591ED-6C50-40B5-9B8E-646770D0354B}"/>
    <cellStyle name="20% - Accent1 2 3 3 4" xfId="3054" xr:uid="{09FA5FA2-DF51-455C-A940-227C6DB4CE12}"/>
    <cellStyle name="20% - Accent1 2 3 3 4 2" xfId="7185" xr:uid="{D73DB816-EA1F-42EC-AB08-D38A323A9311}"/>
    <cellStyle name="20% - Accent1 2 3 3 5" xfId="3878" xr:uid="{D6A8212E-335F-4CD2-9BA4-2C673AF41A70}"/>
    <cellStyle name="20% - Accent1 2 3 3 5 2" xfId="8037" xr:uid="{52934EF8-C60C-431A-88EF-087E3C279F17}"/>
    <cellStyle name="20% - Accent1 2 3 3 6" xfId="4708" xr:uid="{B609FD64-9522-490C-B7C6-440F94EA20F5}"/>
    <cellStyle name="20% - Accent1 2 3 3 7" xfId="8884" xr:uid="{BFF2B2BC-211C-4686-8389-287EC104D0D2}"/>
    <cellStyle name="20% - Accent1 2 3 4" xfId="984" xr:uid="{FD1FAEC7-9BCC-4AB4-A3AF-036B3074531B}"/>
    <cellStyle name="20% - Accent1 2 3 4 2" xfId="5116" xr:uid="{DFF67ABD-5C13-4406-BE82-85B7344EC022}"/>
    <cellStyle name="20% - Accent1 2 3 5" xfId="1812" xr:uid="{0E9673A4-6FD6-42FE-9E09-818817FA94C7}"/>
    <cellStyle name="20% - Accent1 2 3 5 2" xfId="5943" xr:uid="{42479599-6C79-4BDB-A3EB-9BCF5564FCF2}"/>
    <cellStyle name="20% - Accent1 2 3 6" xfId="2636" xr:uid="{F7E56850-1B54-4BBD-8FDC-22BC47A47974}"/>
    <cellStyle name="20% - Accent1 2 3 6 2" xfId="6767" xr:uid="{C1350181-1569-4141-B892-674AA2773EDA}"/>
    <cellStyle name="20% - Accent1 2 3 7" xfId="3460" xr:uid="{50D1AA88-807E-4D92-B46A-B5843BD94609}"/>
    <cellStyle name="20% - Accent1 2 3 7 2" xfId="7619" xr:uid="{29CFB927-7D5F-4D96-A163-F9A15807A984}"/>
    <cellStyle name="20% - Accent1 2 3 8" xfId="4290" xr:uid="{9CA6DC52-B651-4E61-885B-3B283620CF3D}"/>
    <cellStyle name="20% - Accent1 2 3 9" xfId="8466" xr:uid="{99F86222-0BD6-4787-A199-BBEFC25EE454}"/>
    <cellStyle name="20% - Accent1 2 4" xfId="263" xr:uid="{00000000-0005-0000-0000-000010000000}"/>
    <cellStyle name="20% - Accent1 2 4 2" xfId="680" xr:uid="{00000000-0005-0000-0000-000011000000}"/>
    <cellStyle name="20% - Accent1 2 4 2 2" xfId="1506" xr:uid="{74C29414-AA0E-4A3C-B77D-1D3C322D9C85}"/>
    <cellStyle name="20% - Accent1 2 4 2 2 2" xfId="5638" xr:uid="{973D371D-E6C4-4A04-9A04-6DED7C553585}"/>
    <cellStyle name="20% - Accent1 2 4 2 3" xfId="2334" xr:uid="{6B4F1106-9F2C-45B4-9687-BDFF67AE930E}"/>
    <cellStyle name="20% - Accent1 2 4 2 3 2" xfId="6465" xr:uid="{5C8E1F26-456D-4E7C-AA7E-53B060616A68}"/>
    <cellStyle name="20% - Accent1 2 4 2 4" xfId="3158" xr:uid="{0D679171-2E6D-4420-B351-E5A29F6DDFC6}"/>
    <cellStyle name="20% - Accent1 2 4 2 4 2" xfId="7289" xr:uid="{532F1FFC-56AC-44F3-A884-1FA5735DE30B}"/>
    <cellStyle name="20% - Accent1 2 4 2 5" xfId="3982" xr:uid="{A540C2F2-3622-403F-A2A2-36F148544EAC}"/>
    <cellStyle name="20% - Accent1 2 4 2 5 2" xfId="8141" xr:uid="{A0BDD3F2-1B1A-453C-91BB-4E9848D634CA}"/>
    <cellStyle name="20% - Accent1 2 4 2 6" xfId="4812" xr:uid="{EE88E2A6-9A35-4248-9ACF-50984DFB4D2F}"/>
    <cellStyle name="20% - Accent1 2 4 2 7" xfId="8988" xr:uid="{039B68C1-E821-42C3-AEF2-C6CC164C9730}"/>
    <cellStyle name="20% - Accent1 2 4 3" xfId="1089" xr:uid="{8C7D4C8A-979F-47EF-940C-DFF37EF2D09E}"/>
    <cellStyle name="20% - Accent1 2 4 3 2" xfId="5221" xr:uid="{05B4B573-27B9-4E9D-A290-C1D7E929339D}"/>
    <cellStyle name="20% - Accent1 2 4 4" xfId="1917" xr:uid="{28B292B2-4787-4617-9A23-807F2F1E76C9}"/>
    <cellStyle name="20% - Accent1 2 4 4 2" xfId="6048" xr:uid="{B21775EA-1F29-4876-998A-1A8060F1740D}"/>
    <cellStyle name="20% - Accent1 2 4 5" xfId="2741" xr:uid="{7C41AACB-C990-467F-9002-CE95CD7B4DFE}"/>
    <cellStyle name="20% - Accent1 2 4 5 2" xfId="6872" xr:uid="{B55B63EA-3DA1-4C31-9ABB-66DD84357BBA}"/>
    <cellStyle name="20% - Accent1 2 4 6" xfId="3565" xr:uid="{B1D65384-FA86-45BC-B4EB-EA4C24535CCD}"/>
    <cellStyle name="20% - Accent1 2 4 6 2" xfId="7724" xr:uid="{41405E51-CF6A-417F-B7B3-87B5185233EF}"/>
    <cellStyle name="20% - Accent1 2 4 7" xfId="4395" xr:uid="{71EF00A5-C93E-4716-87FE-1255A6372B43}"/>
    <cellStyle name="20% - Accent1 2 4 8" xfId="8571" xr:uid="{8BE2F1A9-2178-46A6-BAD9-2CBAD4728AFD}"/>
    <cellStyle name="20% - Accent1 2 5" xfId="472" xr:uid="{00000000-0005-0000-0000-000012000000}"/>
    <cellStyle name="20% - Accent1 2 5 2" xfId="1298" xr:uid="{CF6E967B-6865-4708-9610-DE72259E30B9}"/>
    <cellStyle name="20% - Accent1 2 5 2 2" xfId="5430" xr:uid="{26A0C5EF-086F-43DD-B0DD-245276C13BB7}"/>
    <cellStyle name="20% - Accent1 2 5 3" xfId="2126" xr:uid="{54A36CF3-DD77-4B43-99A7-6E7D58D8861E}"/>
    <cellStyle name="20% - Accent1 2 5 3 2" xfId="6257" xr:uid="{1D471C39-F437-4E09-A67E-50C894AC705A}"/>
    <cellStyle name="20% - Accent1 2 5 4" xfId="2950" xr:uid="{5A6C0A6E-9A58-4073-A6ED-22A6456314D0}"/>
    <cellStyle name="20% - Accent1 2 5 4 2" xfId="7081" xr:uid="{1C49BBBA-4B91-4EE9-BB11-CF28C9A72A7E}"/>
    <cellStyle name="20% - Accent1 2 5 5" xfId="3774" xr:uid="{24551D4D-6C97-422A-9CCC-647EE7527B82}"/>
    <cellStyle name="20% - Accent1 2 5 5 2" xfId="7933" xr:uid="{0C73F464-354D-4E94-A1FA-9F1740C213BD}"/>
    <cellStyle name="20% - Accent1 2 5 6" xfId="4604" xr:uid="{A3249804-FF20-4A6E-88B1-D8330C416B19}"/>
    <cellStyle name="20% - Accent1 2 5 7" xfId="8780" xr:uid="{BD1131FE-4019-4556-B835-F332B2B4C2C1}"/>
    <cellStyle name="20% - Accent1 2 6" xfId="878" xr:uid="{97D53B7B-2C1C-4C41-98C8-CC2BE55C4DB6}"/>
    <cellStyle name="20% - Accent1 2 6 2" xfId="5010" xr:uid="{3B6A0032-FDA0-4AB5-8473-34A342EE65AC}"/>
    <cellStyle name="20% - Accent1 2 7" xfId="1706" xr:uid="{01DFC082-09C0-4968-A156-132CCC6C743B}"/>
    <cellStyle name="20% - Accent1 2 7 2" xfId="5837" xr:uid="{A136B13C-AC62-4BA2-BCCD-AA38DAA6EA22}"/>
    <cellStyle name="20% - Accent1 2 8" xfId="2530" xr:uid="{6CE69782-8515-4250-BD05-B42277A0FE98}"/>
    <cellStyle name="20% - Accent1 2 8 2" xfId="6661" xr:uid="{544F71CF-7C5E-45A1-8A76-F9EAA820BCCE}"/>
    <cellStyle name="20% - Accent1 2 9" xfId="3354" xr:uid="{C06488EF-4FBC-433F-8270-6F01A2D825CB}"/>
    <cellStyle name="20% - Accent1 2 9 2" xfId="7513" xr:uid="{5F34B034-FAC5-4135-9900-DA7749E68563}"/>
    <cellStyle name="20% - Accent1 3" xfId="65" xr:uid="{00000000-0005-0000-0000-000013000000}"/>
    <cellStyle name="20% - Accent1 3 10" xfId="4197" xr:uid="{841D5217-C806-400F-BFF1-1FF14B5BDE59}"/>
    <cellStyle name="20% - Accent1 3 11" xfId="8373" xr:uid="{19ADF3A2-F329-4824-B941-2CF103F6B4A2}"/>
    <cellStyle name="20% - Accent1 3 2" xfId="118" xr:uid="{00000000-0005-0000-0000-000014000000}"/>
    <cellStyle name="20% - Accent1 3 2 10" xfId="8426" xr:uid="{DF195DBD-8444-4DFB-88CD-19F20E5E35D9}"/>
    <cellStyle name="20% - Accent1 3 2 2" xfId="223" xr:uid="{00000000-0005-0000-0000-000015000000}"/>
    <cellStyle name="20% - Accent1 3 2 2 2" xfId="432" xr:uid="{00000000-0005-0000-0000-000016000000}"/>
    <cellStyle name="20% - Accent1 3 2 2 2 2" xfId="849" xr:uid="{00000000-0005-0000-0000-000017000000}"/>
    <cellStyle name="20% - Accent1 3 2 2 2 2 2" xfId="1675" xr:uid="{26667131-47DD-46F5-B56F-08439B6F4241}"/>
    <cellStyle name="20% - Accent1 3 2 2 2 2 2 2" xfId="5807" xr:uid="{A1B205FB-231B-44FC-BDD1-390C30632A6D}"/>
    <cellStyle name="20% - Accent1 3 2 2 2 2 3" xfId="2503" xr:uid="{62E0C22D-ACA0-4619-A030-DB7B32D37265}"/>
    <cellStyle name="20% - Accent1 3 2 2 2 2 3 2" xfId="6634" xr:uid="{F9E2E205-66DF-44FA-9BB5-00B9B29A31AB}"/>
    <cellStyle name="20% - Accent1 3 2 2 2 2 4" xfId="3327" xr:uid="{C02A9358-853C-4F77-84A9-EC897D558588}"/>
    <cellStyle name="20% - Accent1 3 2 2 2 2 4 2" xfId="7458" xr:uid="{2A48478D-734E-40E0-B75B-BBF6D7ACB5D9}"/>
    <cellStyle name="20% - Accent1 3 2 2 2 2 5" xfId="4151" xr:uid="{C3E287C6-66EE-418A-A3DC-D7A1BA5D127D}"/>
    <cellStyle name="20% - Accent1 3 2 2 2 2 5 2" xfId="8310" xr:uid="{F23AE939-D690-43B4-8A37-DD90E49FD9E3}"/>
    <cellStyle name="20% - Accent1 3 2 2 2 2 6" xfId="4981" xr:uid="{E1FC98E0-8244-4AF1-A257-DECCC704A86B}"/>
    <cellStyle name="20% - Accent1 3 2 2 2 2 7" xfId="9157" xr:uid="{64C0D116-5EF2-4DDE-B960-19F982B6CB6A}"/>
    <cellStyle name="20% - Accent1 3 2 2 2 3" xfId="1258" xr:uid="{957B74F4-9EC4-456B-B252-FC38B537008C}"/>
    <cellStyle name="20% - Accent1 3 2 2 2 3 2" xfId="5390" xr:uid="{FA6A7B33-7D56-4A6E-8377-C9F6317C98EB}"/>
    <cellStyle name="20% - Accent1 3 2 2 2 4" xfId="2086" xr:uid="{5F8968E6-AFCD-4A4B-8B8F-E9BA4B6DAEE7}"/>
    <cellStyle name="20% - Accent1 3 2 2 2 4 2" xfId="6217" xr:uid="{233C2D87-6E65-4E2A-A55D-973B21C5EB2F}"/>
    <cellStyle name="20% - Accent1 3 2 2 2 5" xfId="2910" xr:uid="{A305AF4B-BBC3-48B0-BB72-FD756CBB46BD}"/>
    <cellStyle name="20% - Accent1 3 2 2 2 5 2" xfId="7041" xr:uid="{65AC4882-A06C-4A52-8DF1-88440BF8894D}"/>
    <cellStyle name="20% - Accent1 3 2 2 2 6" xfId="3734" xr:uid="{BE39AB5E-23E6-427A-8ABF-1E683544F0FF}"/>
    <cellStyle name="20% - Accent1 3 2 2 2 6 2" xfId="7893" xr:uid="{99DCE7BE-FEBC-452A-8DD4-DE7DFB619D8B}"/>
    <cellStyle name="20% - Accent1 3 2 2 2 7" xfId="4564" xr:uid="{DFE1830E-5025-4A37-85F1-B61814C65AF5}"/>
    <cellStyle name="20% - Accent1 3 2 2 2 8" xfId="8740" xr:uid="{C7CD7645-C867-415B-91F8-0A91BCBB0EC5}"/>
    <cellStyle name="20% - Accent1 3 2 2 3" xfId="641" xr:uid="{00000000-0005-0000-0000-000018000000}"/>
    <cellStyle name="20% - Accent1 3 2 2 3 2" xfId="1467" xr:uid="{2E97C574-9A07-4EFA-9483-5A5361167370}"/>
    <cellStyle name="20% - Accent1 3 2 2 3 2 2" xfId="5599" xr:uid="{B12EA2DD-53D4-46C6-A00C-474523716BE5}"/>
    <cellStyle name="20% - Accent1 3 2 2 3 3" xfId="2295" xr:uid="{6C52D38E-FE3A-4048-9658-334F0E348EC0}"/>
    <cellStyle name="20% - Accent1 3 2 2 3 3 2" xfId="6426" xr:uid="{77F61693-4B05-4930-BBA4-D168B9ECEFBC}"/>
    <cellStyle name="20% - Accent1 3 2 2 3 4" xfId="3119" xr:uid="{1900067E-5999-4F22-8F16-2FBC3F1AA726}"/>
    <cellStyle name="20% - Accent1 3 2 2 3 4 2" xfId="7250" xr:uid="{87C2F796-072F-481C-9E6A-2C06335E91B7}"/>
    <cellStyle name="20% - Accent1 3 2 2 3 5" xfId="3943" xr:uid="{82BE8A5E-5956-4D13-A22E-DD4EA3F28CFE}"/>
    <cellStyle name="20% - Accent1 3 2 2 3 5 2" xfId="8102" xr:uid="{E9D0144D-2520-450F-9999-5AD738A3EF43}"/>
    <cellStyle name="20% - Accent1 3 2 2 3 6" xfId="4773" xr:uid="{F7B84D2D-61CF-4EE5-929D-0960B1C970FF}"/>
    <cellStyle name="20% - Accent1 3 2 2 3 7" xfId="8949" xr:uid="{7F6ED6D6-4B44-44D9-A1AB-E7BC819F0CBB}"/>
    <cellStyle name="20% - Accent1 3 2 2 4" xfId="1049" xr:uid="{76415378-491C-4BF3-96B0-073B933A6FA7}"/>
    <cellStyle name="20% - Accent1 3 2 2 4 2" xfId="5181" xr:uid="{019A754B-EE3B-4320-8353-8935C1FB9487}"/>
    <cellStyle name="20% - Accent1 3 2 2 5" xfId="1877" xr:uid="{E0EC5406-ADCF-4198-906F-B1142B67B314}"/>
    <cellStyle name="20% - Accent1 3 2 2 5 2" xfId="6008" xr:uid="{C4B37E34-32AD-465F-939B-AE77DB03AF50}"/>
    <cellStyle name="20% - Accent1 3 2 2 6" xfId="2701" xr:uid="{20637433-70C0-4DCA-900A-D66333348C29}"/>
    <cellStyle name="20% - Accent1 3 2 2 6 2" xfId="6832" xr:uid="{267CEE04-60D5-464A-B124-DA8A2503847A}"/>
    <cellStyle name="20% - Accent1 3 2 2 7" xfId="3525" xr:uid="{3D290125-207F-43CA-A9C2-4A3666EAB118}"/>
    <cellStyle name="20% - Accent1 3 2 2 7 2" xfId="7684" xr:uid="{3839D35A-20B6-414A-89C7-E51FC7D6A3DB}"/>
    <cellStyle name="20% - Accent1 3 2 2 8" xfId="4355" xr:uid="{10D5E968-108B-422B-B1F3-24E5658F30D6}"/>
    <cellStyle name="20% - Accent1 3 2 2 9" xfId="8531" xr:uid="{23528762-289E-4E5F-A344-8229259F5AB4}"/>
    <cellStyle name="20% - Accent1 3 2 3" xfId="328" xr:uid="{00000000-0005-0000-0000-000019000000}"/>
    <cellStyle name="20% - Accent1 3 2 3 2" xfId="745" xr:uid="{00000000-0005-0000-0000-00001A000000}"/>
    <cellStyle name="20% - Accent1 3 2 3 2 2" xfId="1571" xr:uid="{D9251792-920B-4CE3-A9BC-1CD81656CE31}"/>
    <cellStyle name="20% - Accent1 3 2 3 2 2 2" xfId="5703" xr:uid="{D2AEC994-283E-449C-B795-8AF7085B652A}"/>
    <cellStyle name="20% - Accent1 3 2 3 2 3" xfId="2399" xr:uid="{7A8394A9-2E18-4B65-B662-CE20A128B72C}"/>
    <cellStyle name="20% - Accent1 3 2 3 2 3 2" xfId="6530" xr:uid="{2FD1D804-6EC9-4D10-BCF3-560F852A4499}"/>
    <cellStyle name="20% - Accent1 3 2 3 2 4" xfId="3223" xr:uid="{8F65F9E4-236D-401E-922D-036030854D74}"/>
    <cellStyle name="20% - Accent1 3 2 3 2 4 2" xfId="7354" xr:uid="{4A0FC13F-AA1E-4A22-B709-2FE74843CA75}"/>
    <cellStyle name="20% - Accent1 3 2 3 2 5" xfId="4047" xr:uid="{12967783-FCBA-4867-A78C-6701C268A718}"/>
    <cellStyle name="20% - Accent1 3 2 3 2 5 2" xfId="8206" xr:uid="{EDB4B526-C57E-4AFC-B11E-2B8A329366F2}"/>
    <cellStyle name="20% - Accent1 3 2 3 2 6" xfId="4877" xr:uid="{90978E3B-EF67-4FAE-9553-DE97E7C6CB7D}"/>
    <cellStyle name="20% - Accent1 3 2 3 2 7" xfId="9053" xr:uid="{BFA9FB7B-9964-4E26-B890-0EA6BF81A9C2}"/>
    <cellStyle name="20% - Accent1 3 2 3 3" xfId="1154" xr:uid="{08DA027B-A6A4-4CED-9522-57F269E070CB}"/>
    <cellStyle name="20% - Accent1 3 2 3 3 2" xfId="5286" xr:uid="{22E1FE11-6A05-4538-84CB-2527B3D5583C}"/>
    <cellStyle name="20% - Accent1 3 2 3 4" xfId="1982" xr:uid="{B284E4F7-1D62-488F-B3AD-C07D8DB9E7EC}"/>
    <cellStyle name="20% - Accent1 3 2 3 4 2" xfId="6113" xr:uid="{7402F837-B7DE-4442-BDAB-6E24CC6D9A8E}"/>
    <cellStyle name="20% - Accent1 3 2 3 5" xfId="2806" xr:uid="{D721B084-B8CA-4343-9837-02815E85984F}"/>
    <cellStyle name="20% - Accent1 3 2 3 5 2" xfId="6937" xr:uid="{3D24D58F-16FA-4135-B2F9-EF57AB740BEE}"/>
    <cellStyle name="20% - Accent1 3 2 3 6" xfId="3630" xr:uid="{179413D3-C3DF-40F6-AE24-9507824E64FC}"/>
    <cellStyle name="20% - Accent1 3 2 3 6 2" xfId="7789" xr:uid="{2B051E15-C3F0-45DE-BBE3-9D3DC2949E37}"/>
    <cellStyle name="20% - Accent1 3 2 3 7" xfId="4460" xr:uid="{B661C478-E17F-4A18-9915-758E5AE4D56B}"/>
    <cellStyle name="20% - Accent1 3 2 3 8" xfId="8636" xr:uid="{1FC6DDDD-69A7-4DBD-928D-704910E54394}"/>
    <cellStyle name="20% - Accent1 3 2 4" xfId="537" xr:uid="{00000000-0005-0000-0000-00001B000000}"/>
    <cellStyle name="20% - Accent1 3 2 4 2" xfId="1363" xr:uid="{8008E260-C712-4775-BC4E-B85F63270BF0}"/>
    <cellStyle name="20% - Accent1 3 2 4 2 2" xfId="5495" xr:uid="{FB0973B8-71A7-40EF-8BBB-70FA7D45B063}"/>
    <cellStyle name="20% - Accent1 3 2 4 3" xfId="2191" xr:uid="{D7251BC7-EE9D-4BF5-A31B-6668BB264E77}"/>
    <cellStyle name="20% - Accent1 3 2 4 3 2" xfId="6322" xr:uid="{E2DE2BA0-321D-43EE-89B4-2C623913F4D6}"/>
    <cellStyle name="20% - Accent1 3 2 4 4" xfId="3015" xr:uid="{1DAB7038-1AF8-421A-90AB-4BADB0EE2172}"/>
    <cellStyle name="20% - Accent1 3 2 4 4 2" xfId="7146" xr:uid="{1DE6A48A-7420-4368-9101-2534E04A1465}"/>
    <cellStyle name="20% - Accent1 3 2 4 5" xfId="3839" xr:uid="{950E0902-824E-45B3-8379-5BE000265DCA}"/>
    <cellStyle name="20% - Accent1 3 2 4 5 2" xfId="7998" xr:uid="{F6C1E38B-52E1-47D1-802F-1B150A23466D}"/>
    <cellStyle name="20% - Accent1 3 2 4 6" xfId="4669" xr:uid="{ADB63ED1-63DD-43B4-8B3D-2AFA480B6115}"/>
    <cellStyle name="20% - Accent1 3 2 4 7" xfId="8845" xr:uid="{D0576571-33EC-405F-813B-4475EA83E583}"/>
    <cellStyle name="20% - Accent1 3 2 5" xfId="944" xr:uid="{5E8F03D4-14D2-4FD0-B794-93F2F6F8D0D9}"/>
    <cellStyle name="20% - Accent1 3 2 5 2" xfId="5076" xr:uid="{E2C9B2CE-EC6A-4724-B456-24B6C92D3016}"/>
    <cellStyle name="20% - Accent1 3 2 6" xfId="1772" xr:uid="{22F021E8-0C16-45F5-81A6-3CFFF1AF10C2}"/>
    <cellStyle name="20% - Accent1 3 2 6 2" xfId="5903" xr:uid="{14D8C23C-6CB0-4098-B7F1-05EA8558AF63}"/>
    <cellStyle name="20% - Accent1 3 2 7" xfId="2596" xr:uid="{21294A59-5450-4DE4-8A70-A8BF2F9DF79A}"/>
    <cellStyle name="20% - Accent1 3 2 7 2" xfId="6727" xr:uid="{696EB446-1581-42AD-80D1-253D290CB252}"/>
    <cellStyle name="20% - Accent1 3 2 8" xfId="3420" xr:uid="{C2BEDA3E-1D99-4BB6-8221-E477273C8C83}"/>
    <cellStyle name="20% - Accent1 3 2 8 2" xfId="7579" xr:uid="{6D873F56-3391-45D5-A80E-73CF95AE8D59}"/>
    <cellStyle name="20% - Accent1 3 2 9" xfId="4250" xr:uid="{F73CC135-B175-4AFF-9969-91C25C2D13BC}"/>
    <cellStyle name="20% - Accent1 3 3" xfId="171" xr:uid="{00000000-0005-0000-0000-00001C000000}"/>
    <cellStyle name="20% - Accent1 3 3 2" xfId="380" xr:uid="{00000000-0005-0000-0000-00001D000000}"/>
    <cellStyle name="20% - Accent1 3 3 2 2" xfId="797" xr:uid="{00000000-0005-0000-0000-00001E000000}"/>
    <cellStyle name="20% - Accent1 3 3 2 2 2" xfId="1623" xr:uid="{9392709C-C872-46EE-8D2B-B19707AE3A81}"/>
    <cellStyle name="20% - Accent1 3 3 2 2 2 2" xfId="5755" xr:uid="{565F16BD-97DB-4487-9508-090287474CF3}"/>
    <cellStyle name="20% - Accent1 3 3 2 2 3" xfId="2451" xr:uid="{26E2CD59-5675-42FD-916F-698B14B7AD2A}"/>
    <cellStyle name="20% - Accent1 3 3 2 2 3 2" xfId="6582" xr:uid="{F126ED4F-FE46-4849-9EB9-973A2A442EAC}"/>
    <cellStyle name="20% - Accent1 3 3 2 2 4" xfId="3275" xr:uid="{757D96F1-C1DF-4BEB-8D52-A87F45ADE1E1}"/>
    <cellStyle name="20% - Accent1 3 3 2 2 4 2" xfId="7406" xr:uid="{4DC50647-9D19-47D3-A940-18365894D651}"/>
    <cellStyle name="20% - Accent1 3 3 2 2 5" xfId="4099" xr:uid="{256C7A8F-29F2-44A3-8BD4-175B591DBEB5}"/>
    <cellStyle name="20% - Accent1 3 3 2 2 5 2" xfId="8258" xr:uid="{BD913CBF-6DF1-42B1-B7A6-BDACE1FB1977}"/>
    <cellStyle name="20% - Accent1 3 3 2 2 6" xfId="4929" xr:uid="{AC831B01-B5A8-49FA-9622-82B6563E1FE0}"/>
    <cellStyle name="20% - Accent1 3 3 2 2 7" xfId="9105" xr:uid="{E08D77B0-6915-44F4-AA8D-A0530E2A0E93}"/>
    <cellStyle name="20% - Accent1 3 3 2 3" xfId="1206" xr:uid="{23A14FCD-1CD6-462E-9C6E-E983343CED41}"/>
    <cellStyle name="20% - Accent1 3 3 2 3 2" xfId="5338" xr:uid="{8F887616-7ED8-4C13-B97E-B40E33708EFA}"/>
    <cellStyle name="20% - Accent1 3 3 2 4" xfId="2034" xr:uid="{535940C2-C7BE-4696-B206-460C6B32D12A}"/>
    <cellStyle name="20% - Accent1 3 3 2 4 2" xfId="6165" xr:uid="{BB30B99F-DF96-4C8E-9C08-C8CCBE800BAA}"/>
    <cellStyle name="20% - Accent1 3 3 2 5" xfId="2858" xr:uid="{F8FFA65A-FCD2-4645-8FC5-35710CCBA137}"/>
    <cellStyle name="20% - Accent1 3 3 2 5 2" xfId="6989" xr:uid="{EAA50ABE-65FF-4637-830C-46508DA92AA3}"/>
    <cellStyle name="20% - Accent1 3 3 2 6" xfId="3682" xr:uid="{5D3B0CDD-0C2D-4BCE-B686-B5461C9667C0}"/>
    <cellStyle name="20% - Accent1 3 3 2 6 2" xfId="7841" xr:uid="{54F4F375-81DF-4BBE-B432-11E9BB5A26E3}"/>
    <cellStyle name="20% - Accent1 3 3 2 7" xfId="4512" xr:uid="{F8DD7445-A489-4734-8BB0-BC22BCBFFAE5}"/>
    <cellStyle name="20% - Accent1 3 3 2 8" xfId="8688" xr:uid="{0EE38200-DD99-4650-99FC-1EE6B5AB12A1}"/>
    <cellStyle name="20% - Accent1 3 3 3" xfId="589" xr:uid="{00000000-0005-0000-0000-00001F000000}"/>
    <cellStyle name="20% - Accent1 3 3 3 2" xfId="1415" xr:uid="{B006286E-6FAF-4535-B630-06A959FFDC5C}"/>
    <cellStyle name="20% - Accent1 3 3 3 2 2" xfId="5547" xr:uid="{9E5EE269-41EE-4412-B8A9-A3295B302CD2}"/>
    <cellStyle name="20% - Accent1 3 3 3 3" xfId="2243" xr:uid="{0A9A8908-0C2A-4C49-B890-B7CB349353E9}"/>
    <cellStyle name="20% - Accent1 3 3 3 3 2" xfId="6374" xr:uid="{1E898EA2-A006-432F-85A9-F97E290C270E}"/>
    <cellStyle name="20% - Accent1 3 3 3 4" xfId="3067" xr:uid="{655F787E-7F82-4870-A713-C9CBE17DB598}"/>
    <cellStyle name="20% - Accent1 3 3 3 4 2" xfId="7198" xr:uid="{A6E7D2A1-E979-4E79-AC3A-82FE9C6D22AB}"/>
    <cellStyle name="20% - Accent1 3 3 3 5" xfId="3891" xr:uid="{8A488088-291F-4A16-BAC0-B36C035CCAAA}"/>
    <cellStyle name="20% - Accent1 3 3 3 5 2" xfId="8050" xr:uid="{909ADEEF-28C6-42B2-8034-F077CCD7B171}"/>
    <cellStyle name="20% - Accent1 3 3 3 6" xfId="4721" xr:uid="{DB2A4456-7D0B-4815-BD01-4796E72136A3}"/>
    <cellStyle name="20% - Accent1 3 3 3 7" xfId="8897" xr:uid="{1925DD2F-CA7E-4837-8288-0928FCA687D3}"/>
    <cellStyle name="20% - Accent1 3 3 4" xfId="997" xr:uid="{E0472E15-C80F-4336-9A6D-650DB8DEBE46}"/>
    <cellStyle name="20% - Accent1 3 3 4 2" xfId="5129" xr:uid="{5AC93A4F-5FC2-47DF-ABE9-08C54F3BBFB7}"/>
    <cellStyle name="20% - Accent1 3 3 5" xfId="1825" xr:uid="{2E1139DE-F622-41D0-A662-56443A17E3DE}"/>
    <cellStyle name="20% - Accent1 3 3 5 2" xfId="5956" xr:uid="{9C5919F4-611D-4B5C-8EF9-377E6C082617}"/>
    <cellStyle name="20% - Accent1 3 3 6" xfId="2649" xr:uid="{0FD2478C-1B4B-41B0-AD74-D6420C1108F3}"/>
    <cellStyle name="20% - Accent1 3 3 6 2" xfId="6780" xr:uid="{A93622B0-6EF0-41F9-B531-3DF796A59C8C}"/>
    <cellStyle name="20% - Accent1 3 3 7" xfId="3473" xr:uid="{EFDC8E04-F847-4DFD-A8DA-E18F275D1694}"/>
    <cellStyle name="20% - Accent1 3 3 7 2" xfId="7632" xr:uid="{07E52595-1A4F-456F-B6B9-5E2DB5E8C381}"/>
    <cellStyle name="20% - Accent1 3 3 8" xfId="4303" xr:uid="{94146F00-8222-4E17-A224-D21AB7A47171}"/>
    <cellStyle name="20% - Accent1 3 3 9" xfId="8479" xr:uid="{1C4C3A55-1C22-4447-9C9C-6330F827DD8E}"/>
    <cellStyle name="20% - Accent1 3 4" xfId="276" xr:uid="{00000000-0005-0000-0000-000020000000}"/>
    <cellStyle name="20% - Accent1 3 4 2" xfId="693" xr:uid="{00000000-0005-0000-0000-000021000000}"/>
    <cellStyle name="20% - Accent1 3 4 2 2" xfId="1519" xr:uid="{97F57400-6DF7-4F4A-86D9-28C325E7E75A}"/>
    <cellStyle name="20% - Accent1 3 4 2 2 2" xfId="5651" xr:uid="{B7F21562-2646-4080-B0D0-2E3CE1E6E5F4}"/>
    <cellStyle name="20% - Accent1 3 4 2 3" xfId="2347" xr:uid="{25210209-44C5-4C16-85A0-64BC4EAFA568}"/>
    <cellStyle name="20% - Accent1 3 4 2 3 2" xfId="6478" xr:uid="{085C73AD-11D6-4CA1-8D8A-742E7ABF9E3C}"/>
    <cellStyle name="20% - Accent1 3 4 2 4" xfId="3171" xr:uid="{86C32457-77EF-44E1-AC77-650247B24B24}"/>
    <cellStyle name="20% - Accent1 3 4 2 4 2" xfId="7302" xr:uid="{8E6FC834-3F97-43BB-B30B-D0D77F0C83C1}"/>
    <cellStyle name="20% - Accent1 3 4 2 5" xfId="3995" xr:uid="{961BAD79-82EB-448B-BEFC-B2E541041500}"/>
    <cellStyle name="20% - Accent1 3 4 2 5 2" xfId="8154" xr:uid="{E73C265F-B29F-44BF-B496-FD20FB3D905C}"/>
    <cellStyle name="20% - Accent1 3 4 2 6" xfId="4825" xr:uid="{545B2A4F-39D3-44D2-9F09-D5266210BA35}"/>
    <cellStyle name="20% - Accent1 3 4 2 7" xfId="9001" xr:uid="{C098DFB7-F18C-49B4-9CC7-2CD288670FE5}"/>
    <cellStyle name="20% - Accent1 3 4 3" xfId="1102" xr:uid="{298EA2EF-E57B-4A5A-9814-B000569F08BC}"/>
    <cellStyle name="20% - Accent1 3 4 3 2" xfId="5234" xr:uid="{B79DF975-8720-462E-9A27-AB42FDC8D927}"/>
    <cellStyle name="20% - Accent1 3 4 4" xfId="1930" xr:uid="{6B3D7A18-48D0-4017-A51F-B43D1A2A8FE8}"/>
    <cellStyle name="20% - Accent1 3 4 4 2" xfId="6061" xr:uid="{01FA3A29-D47C-4E39-9FA0-41A79BC4EC57}"/>
    <cellStyle name="20% - Accent1 3 4 5" xfId="2754" xr:uid="{9C4EFD99-51E7-41A8-9405-FC11D24B8E4A}"/>
    <cellStyle name="20% - Accent1 3 4 5 2" xfId="6885" xr:uid="{4FD6A5F9-C2E1-4B9C-BAC4-E61FB2477970}"/>
    <cellStyle name="20% - Accent1 3 4 6" xfId="3578" xr:uid="{851DBD47-F47E-465A-9E44-771048762B9E}"/>
    <cellStyle name="20% - Accent1 3 4 6 2" xfId="7737" xr:uid="{3E351CBE-8F4A-4BAE-9446-E0D9566A47E5}"/>
    <cellStyle name="20% - Accent1 3 4 7" xfId="4408" xr:uid="{66CB9809-4418-4117-AAEA-532B5A479136}"/>
    <cellStyle name="20% - Accent1 3 4 8" xfId="8584" xr:uid="{9658B6E8-A140-4A29-AE1E-5E446764435C}"/>
    <cellStyle name="20% - Accent1 3 5" xfId="485" xr:uid="{00000000-0005-0000-0000-000022000000}"/>
    <cellStyle name="20% - Accent1 3 5 2" xfId="1311" xr:uid="{3FC30F5D-2F1F-4C40-856C-51BD439123E3}"/>
    <cellStyle name="20% - Accent1 3 5 2 2" xfId="5443" xr:uid="{8DE7C58C-B988-4C66-8D27-4804CB217208}"/>
    <cellStyle name="20% - Accent1 3 5 3" xfId="2139" xr:uid="{4DF4E0A6-4C1E-4621-B493-C4FB3039F0CD}"/>
    <cellStyle name="20% - Accent1 3 5 3 2" xfId="6270" xr:uid="{AA502418-96D2-4A69-84C7-CE5E7220D7E6}"/>
    <cellStyle name="20% - Accent1 3 5 4" xfId="2963" xr:uid="{CAD6B751-7A5A-450C-88D5-B83A52232D05}"/>
    <cellStyle name="20% - Accent1 3 5 4 2" xfId="7094" xr:uid="{513E9ECB-636A-4FFF-8397-AECE368F7BCC}"/>
    <cellStyle name="20% - Accent1 3 5 5" xfId="3787" xr:uid="{0F1F413D-F2AE-462F-AF9C-F6980C6F620B}"/>
    <cellStyle name="20% - Accent1 3 5 5 2" xfId="7946" xr:uid="{81BB750A-F55B-42A1-AC2E-94D3BB9D705F}"/>
    <cellStyle name="20% - Accent1 3 5 6" xfId="4617" xr:uid="{CD900EC9-D887-4F05-9913-F9D2DCF791CC}"/>
    <cellStyle name="20% - Accent1 3 5 7" xfId="8793" xr:uid="{F38B4356-6020-4975-8AEF-18545C00E32B}"/>
    <cellStyle name="20% - Accent1 3 6" xfId="891" xr:uid="{7A40F650-996E-41AA-BA16-3E0A6DA6D8CA}"/>
    <cellStyle name="20% - Accent1 3 6 2" xfId="5023" xr:uid="{7398A3E3-76C3-4BA4-8619-55EE0130F4D0}"/>
    <cellStyle name="20% - Accent1 3 7" xfId="1719" xr:uid="{04407D7E-F8C9-4E52-B8FB-68D86DBB5C17}"/>
    <cellStyle name="20% - Accent1 3 7 2" xfId="5850" xr:uid="{800BA9D2-C0AB-4EF4-A282-7D50AB2EE4E9}"/>
    <cellStyle name="20% - Accent1 3 8" xfId="2543" xr:uid="{0D22C6F2-2F9F-49A0-88B7-C8F98CA4F868}"/>
    <cellStyle name="20% - Accent1 3 8 2" xfId="6674" xr:uid="{8DCBA66F-E64B-4913-B54E-7471DECADDAB}"/>
    <cellStyle name="20% - Accent1 3 9" xfId="3367" xr:uid="{24583954-20D4-40D8-810F-5EDC16385D41}"/>
    <cellStyle name="20% - Accent1 3 9 2" xfId="7526" xr:uid="{A6D57C10-120F-4DE1-831E-6A33AE40DA1A}"/>
    <cellStyle name="20% - Accent1 4" xfId="78" xr:uid="{00000000-0005-0000-0000-000023000000}"/>
    <cellStyle name="20% - Accent1 4 10" xfId="8386" xr:uid="{18A3C621-FE11-4F05-96EF-67DCE7AB92CE}"/>
    <cellStyle name="20% - Accent1 4 2" xfId="184" xr:uid="{00000000-0005-0000-0000-000024000000}"/>
    <cellStyle name="20% - Accent1 4 2 2" xfId="393" xr:uid="{00000000-0005-0000-0000-000025000000}"/>
    <cellStyle name="20% - Accent1 4 2 2 2" xfId="810" xr:uid="{00000000-0005-0000-0000-000026000000}"/>
    <cellStyle name="20% - Accent1 4 2 2 2 2" xfId="1636" xr:uid="{5C872434-6F2B-4CF5-859A-72E9C581846A}"/>
    <cellStyle name="20% - Accent1 4 2 2 2 2 2" xfId="5768" xr:uid="{5CCA086E-146B-4349-9F22-18DAF7CC19AB}"/>
    <cellStyle name="20% - Accent1 4 2 2 2 3" xfId="2464" xr:uid="{610ADB04-7B9A-4575-AC52-EB346EA030A8}"/>
    <cellStyle name="20% - Accent1 4 2 2 2 3 2" xfId="6595" xr:uid="{1ECCFA22-511A-4827-8F41-51889E6E4148}"/>
    <cellStyle name="20% - Accent1 4 2 2 2 4" xfId="3288" xr:uid="{3C34C705-3A21-4750-ACC6-6C8A82F89D03}"/>
    <cellStyle name="20% - Accent1 4 2 2 2 4 2" xfId="7419" xr:uid="{E5575A6F-D6BB-46C8-9229-258578A23EDD}"/>
    <cellStyle name="20% - Accent1 4 2 2 2 5" xfId="4112" xr:uid="{54C88ACC-4B50-4205-9F41-F2A6B8A1D3C4}"/>
    <cellStyle name="20% - Accent1 4 2 2 2 5 2" xfId="8271" xr:uid="{0A02BDAC-9EA0-4115-9BA3-7FC3CE3D30B0}"/>
    <cellStyle name="20% - Accent1 4 2 2 2 6" xfId="4942" xr:uid="{A7C280C8-1AFD-4651-B5AB-5D5BBE5F00AD}"/>
    <cellStyle name="20% - Accent1 4 2 2 2 7" xfId="9118" xr:uid="{5AE3B42E-5C59-4852-A155-4F453182C546}"/>
    <cellStyle name="20% - Accent1 4 2 2 3" xfId="1219" xr:uid="{6399EC55-17BD-4CB4-9AAA-07651396316E}"/>
    <cellStyle name="20% - Accent1 4 2 2 3 2" xfId="5351" xr:uid="{5ACC6CB5-0013-4773-8C12-8E026C608C63}"/>
    <cellStyle name="20% - Accent1 4 2 2 4" xfId="2047" xr:uid="{180F2209-4BEE-43AF-A317-7CFF0DF4492F}"/>
    <cellStyle name="20% - Accent1 4 2 2 4 2" xfId="6178" xr:uid="{3610238C-5B66-439C-84F4-2D34BA2688BC}"/>
    <cellStyle name="20% - Accent1 4 2 2 5" xfId="2871" xr:uid="{09BEF990-2F70-422C-B62D-63D0C9AE35B5}"/>
    <cellStyle name="20% - Accent1 4 2 2 5 2" xfId="7002" xr:uid="{C4C1E283-D954-4EB6-8628-A0B340138FBB}"/>
    <cellStyle name="20% - Accent1 4 2 2 6" xfId="3695" xr:uid="{C70CDBDA-5561-41A6-815C-2058BE242884}"/>
    <cellStyle name="20% - Accent1 4 2 2 6 2" xfId="7854" xr:uid="{D5789A37-6AF7-4C61-87ED-5664931F133A}"/>
    <cellStyle name="20% - Accent1 4 2 2 7" xfId="4525" xr:uid="{69AFF5E3-B440-4F68-88BF-CD7061AF9C7B}"/>
    <cellStyle name="20% - Accent1 4 2 2 8" xfId="8701" xr:uid="{CBAC3E2B-F7D2-47A2-A4A7-43DDA97B2978}"/>
    <cellStyle name="20% - Accent1 4 2 3" xfId="602" xr:uid="{00000000-0005-0000-0000-000027000000}"/>
    <cellStyle name="20% - Accent1 4 2 3 2" xfId="1428" xr:uid="{3ABAE165-9C31-4280-9AA9-6049050BB55F}"/>
    <cellStyle name="20% - Accent1 4 2 3 2 2" xfId="5560" xr:uid="{5A13FD55-4BDB-4EF6-A156-BC25FB95A820}"/>
    <cellStyle name="20% - Accent1 4 2 3 3" xfId="2256" xr:uid="{3D50D4FE-50A0-4559-BC64-1A6BD9B3DF75}"/>
    <cellStyle name="20% - Accent1 4 2 3 3 2" xfId="6387" xr:uid="{3ABE08B0-ACA7-4DF6-9019-4396E4D76192}"/>
    <cellStyle name="20% - Accent1 4 2 3 4" xfId="3080" xr:uid="{01D4A77E-DE76-4F9C-A402-6D2FC35D40AA}"/>
    <cellStyle name="20% - Accent1 4 2 3 4 2" xfId="7211" xr:uid="{8D6036DA-B650-48D8-94F8-F6609B0B66B2}"/>
    <cellStyle name="20% - Accent1 4 2 3 5" xfId="3904" xr:uid="{3A68064B-5D4E-4EE6-9736-A85F832F873D}"/>
    <cellStyle name="20% - Accent1 4 2 3 5 2" xfId="8063" xr:uid="{1572D564-8D5A-4F44-91C6-ACA8314E8AF7}"/>
    <cellStyle name="20% - Accent1 4 2 3 6" xfId="4734" xr:uid="{3EE1589F-9B20-4355-B87F-F7F61AAEE219}"/>
    <cellStyle name="20% - Accent1 4 2 3 7" xfId="8910" xr:uid="{2297EA59-1F1F-4E8E-BA18-5857E78857B5}"/>
    <cellStyle name="20% - Accent1 4 2 4" xfId="1010" xr:uid="{3D38CF3C-14C0-4683-8949-D8B09B8B7C65}"/>
    <cellStyle name="20% - Accent1 4 2 4 2" xfId="5142" xr:uid="{0BA3F48E-407D-4487-B729-D7C3C3C9C408}"/>
    <cellStyle name="20% - Accent1 4 2 5" xfId="1838" xr:uid="{396D658E-276A-42E8-B440-7D8E476BCD89}"/>
    <cellStyle name="20% - Accent1 4 2 5 2" xfId="5969" xr:uid="{F91EC265-DF97-4EBE-BF37-05EB72022028}"/>
    <cellStyle name="20% - Accent1 4 2 6" xfId="2662" xr:uid="{4CC21673-C7CE-48DC-8988-AF2B64234D42}"/>
    <cellStyle name="20% - Accent1 4 2 6 2" xfId="6793" xr:uid="{2EA04C29-B995-4DAA-9C8D-98C18FC51FAE}"/>
    <cellStyle name="20% - Accent1 4 2 7" xfId="3486" xr:uid="{F28EA106-A8AD-4EEB-AA91-538CFA2BDB86}"/>
    <cellStyle name="20% - Accent1 4 2 7 2" xfId="7645" xr:uid="{8BDEF5BD-2E41-4DD1-BA91-D9D5EA0B0EBA}"/>
    <cellStyle name="20% - Accent1 4 2 8" xfId="4316" xr:uid="{B6921E5F-83C5-4E07-9051-B6FF4DF84273}"/>
    <cellStyle name="20% - Accent1 4 2 9" xfId="8492" xr:uid="{4134311E-8EB8-4880-8786-058D01896821}"/>
    <cellStyle name="20% - Accent1 4 3" xfId="289" xr:uid="{00000000-0005-0000-0000-000028000000}"/>
    <cellStyle name="20% - Accent1 4 3 2" xfId="706" xr:uid="{00000000-0005-0000-0000-000029000000}"/>
    <cellStyle name="20% - Accent1 4 3 2 2" xfId="1532" xr:uid="{C2AB31E5-F976-4849-A848-59EAB3DB4976}"/>
    <cellStyle name="20% - Accent1 4 3 2 2 2" xfId="5664" xr:uid="{D00AE4C9-EF69-4DED-83DD-78449220178E}"/>
    <cellStyle name="20% - Accent1 4 3 2 3" xfId="2360" xr:uid="{6397DF69-ACCB-4241-88AB-235A4A283F09}"/>
    <cellStyle name="20% - Accent1 4 3 2 3 2" xfId="6491" xr:uid="{81B8BB4E-5C00-4097-9828-F98517F6799C}"/>
    <cellStyle name="20% - Accent1 4 3 2 4" xfId="3184" xr:uid="{9CA187C2-D72B-47EF-8D8A-B7B94E1EA562}"/>
    <cellStyle name="20% - Accent1 4 3 2 4 2" xfId="7315" xr:uid="{72B24680-5B8D-4E56-8112-7ACBD586A6F1}"/>
    <cellStyle name="20% - Accent1 4 3 2 5" xfId="4008" xr:uid="{0535E5D5-E1FC-44D6-9150-0A367E3C6FB4}"/>
    <cellStyle name="20% - Accent1 4 3 2 5 2" xfId="8167" xr:uid="{55A7498B-796A-4619-AC23-4B2F0FB4CAB7}"/>
    <cellStyle name="20% - Accent1 4 3 2 6" xfId="4838" xr:uid="{5A7BE61F-FDCE-40A6-8FD0-D399A612B93D}"/>
    <cellStyle name="20% - Accent1 4 3 2 7" xfId="9014" xr:uid="{F4AC7D95-05C5-43C0-B421-1B6F2CF0AABB}"/>
    <cellStyle name="20% - Accent1 4 3 3" xfId="1115" xr:uid="{26A161A8-7518-469C-85B2-C507D92B8D48}"/>
    <cellStyle name="20% - Accent1 4 3 3 2" xfId="5247" xr:uid="{95F1BAE0-EB89-4CE2-B749-59FA4FD60E3B}"/>
    <cellStyle name="20% - Accent1 4 3 4" xfId="1943" xr:uid="{F752954B-E1CD-4D6B-9967-841F40F9C210}"/>
    <cellStyle name="20% - Accent1 4 3 4 2" xfId="6074" xr:uid="{887E9ABB-1D7D-4DAC-9458-F2972F050422}"/>
    <cellStyle name="20% - Accent1 4 3 5" xfId="2767" xr:uid="{90F3798D-85A4-419A-A7DC-8BC52251834B}"/>
    <cellStyle name="20% - Accent1 4 3 5 2" xfId="6898" xr:uid="{B8269CBD-20F0-4D27-9AEC-3B3154624DBF}"/>
    <cellStyle name="20% - Accent1 4 3 6" xfId="3591" xr:uid="{9D61D4E2-9A3E-4530-8EFB-84929B3C8F15}"/>
    <cellStyle name="20% - Accent1 4 3 6 2" xfId="7750" xr:uid="{C729B2B7-96F2-4DF1-B3D2-17B9AF5140DC}"/>
    <cellStyle name="20% - Accent1 4 3 7" xfId="4421" xr:uid="{0884FB8E-AD70-45F8-A7A2-80A0DA2DC08C}"/>
    <cellStyle name="20% - Accent1 4 3 8" xfId="8597" xr:uid="{60C269B8-9758-47E8-B01F-397916E5CAA6}"/>
    <cellStyle name="20% - Accent1 4 4" xfId="498" xr:uid="{00000000-0005-0000-0000-00002A000000}"/>
    <cellStyle name="20% - Accent1 4 4 2" xfId="1324" xr:uid="{6B874D54-2F12-4B77-8062-A9A697922100}"/>
    <cellStyle name="20% - Accent1 4 4 2 2" xfId="5456" xr:uid="{261C50A5-AE0C-4422-8A3A-16C302FE1C1F}"/>
    <cellStyle name="20% - Accent1 4 4 3" xfId="2152" xr:uid="{916BA163-329B-4078-9BB8-2F68D2C493AD}"/>
    <cellStyle name="20% - Accent1 4 4 3 2" xfId="6283" xr:uid="{E9F81777-576B-4DA0-9B56-C17794BCEEF9}"/>
    <cellStyle name="20% - Accent1 4 4 4" xfId="2976" xr:uid="{9994B7E6-234E-4FAB-8AB1-AEB7058BEB0A}"/>
    <cellStyle name="20% - Accent1 4 4 4 2" xfId="7107" xr:uid="{0F3EAAB4-53AB-45F4-A220-5E290AD3EF76}"/>
    <cellStyle name="20% - Accent1 4 4 5" xfId="3800" xr:uid="{B2180C10-C4DF-493A-B7AB-05C6F1841FFD}"/>
    <cellStyle name="20% - Accent1 4 4 5 2" xfId="7959" xr:uid="{89F1DD89-DDE7-494A-B812-C7B6D24D6B93}"/>
    <cellStyle name="20% - Accent1 4 4 6" xfId="4630" xr:uid="{238D2B9B-0093-4380-AC1B-FC42003D16A7}"/>
    <cellStyle name="20% - Accent1 4 4 7" xfId="8806" xr:uid="{C84E9EFC-275B-4CF9-9398-30A7C37EAABF}"/>
    <cellStyle name="20% - Accent1 4 5" xfId="904" xr:uid="{B8AFC18C-C906-48DE-B1DD-4A91CC895D2E}"/>
    <cellStyle name="20% - Accent1 4 5 2" xfId="5036" xr:uid="{5CCCDAEC-1E6A-4E65-9F5F-052842CA6CF3}"/>
    <cellStyle name="20% - Accent1 4 6" xfId="1732" xr:uid="{F41C8AFD-8BE6-45AD-BBF0-AE1A359B8BAE}"/>
    <cellStyle name="20% - Accent1 4 6 2" xfId="5863" xr:uid="{5C51F489-4733-4949-B25A-78C74F5A8FBA}"/>
    <cellStyle name="20% - Accent1 4 7" xfId="2556" xr:uid="{8431C1A4-0D88-4D21-85D1-13804A0967BC}"/>
    <cellStyle name="20% - Accent1 4 7 2" xfId="6687" xr:uid="{7D9E783F-7A40-4985-8622-6A31E258D4CB}"/>
    <cellStyle name="20% - Accent1 4 8" xfId="3380" xr:uid="{A98AAFCC-E64D-426B-B21D-3D504F3907FF}"/>
    <cellStyle name="20% - Accent1 4 8 2" xfId="7539" xr:uid="{26B1AD30-3979-431D-8683-B1BF212B6565}"/>
    <cellStyle name="20% - Accent1 4 9" xfId="4210" xr:uid="{9600EBB1-DEA7-4072-AE63-1EAE50896683}"/>
    <cellStyle name="20% - Accent1 5" xfId="91" xr:uid="{00000000-0005-0000-0000-00002B000000}"/>
    <cellStyle name="20% - Accent1 5 10" xfId="8399" xr:uid="{7FA0CD50-18DD-4CE7-911F-9135B2596ABE}"/>
    <cellStyle name="20% - Accent1 5 2" xfId="196" xr:uid="{00000000-0005-0000-0000-00002C000000}"/>
    <cellStyle name="20% - Accent1 5 2 2" xfId="405" xr:uid="{00000000-0005-0000-0000-00002D000000}"/>
    <cellStyle name="20% - Accent1 5 2 2 2" xfId="822" xr:uid="{00000000-0005-0000-0000-00002E000000}"/>
    <cellStyle name="20% - Accent1 5 2 2 2 2" xfId="1648" xr:uid="{2A8A9C92-C284-4C4D-9768-48F5EE009362}"/>
    <cellStyle name="20% - Accent1 5 2 2 2 2 2" xfId="5780" xr:uid="{B310FE85-838F-4E06-9F6C-AAB9D5728BE0}"/>
    <cellStyle name="20% - Accent1 5 2 2 2 3" xfId="2476" xr:uid="{3B7D5947-1088-4DF9-B8E6-2F8862B9519B}"/>
    <cellStyle name="20% - Accent1 5 2 2 2 3 2" xfId="6607" xr:uid="{58B790DA-7767-4717-AD61-CEC6D3D041AC}"/>
    <cellStyle name="20% - Accent1 5 2 2 2 4" xfId="3300" xr:uid="{E1C97DC4-7663-49F7-93DC-C16D8119C899}"/>
    <cellStyle name="20% - Accent1 5 2 2 2 4 2" xfId="7431" xr:uid="{80029223-8526-4DF3-B546-77065C5DCF83}"/>
    <cellStyle name="20% - Accent1 5 2 2 2 5" xfId="4124" xr:uid="{C3EE9EF3-D0E7-44DD-BD6A-C0BF41060E49}"/>
    <cellStyle name="20% - Accent1 5 2 2 2 5 2" xfId="8283" xr:uid="{656632B8-19B9-4F82-A8B0-9FE2762AEE4F}"/>
    <cellStyle name="20% - Accent1 5 2 2 2 6" xfId="4954" xr:uid="{8AE18C27-ECB6-4614-BC17-DBB54B63F907}"/>
    <cellStyle name="20% - Accent1 5 2 2 2 7" xfId="9130" xr:uid="{4A3E47FB-9936-4CCE-8584-0329CDC6FB1B}"/>
    <cellStyle name="20% - Accent1 5 2 2 3" xfId="1231" xr:uid="{CD6F3EEA-D998-4C34-8B75-3A0CEFDC22E7}"/>
    <cellStyle name="20% - Accent1 5 2 2 3 2" xfId="5363" xr:uid="{21D26D70-0F7A-4179-9A53-EDB16015358B}"/>
    <cellStyle name="20% - Accent1 5 2 2 4" xfId="2059" xr:uid="{43661635-9C76-42A3-B7EE-F960B1DFE1D2}"/>
    <cellStyle name="20% - Accent1 5 2 2 4 2" xfId="6190" xr:uid="{5843DA69-8CE4-4751-989D-B184790C6D7B}"/>
    <cellStyle name="20% - Accent1 5 2 2 5" xfId="2883" xr:uid="{B7F09490-9A7F-4C2D-9B66-E208DAD4D0C7}"/>
    <cellStyle name="20% - Accent1 5 2 2 5 2" xfId="7014" xr:uid="{B6AB07D0-5941-4A46-82DB-5C7D9C23AF11}"/>
    <cellStyle name="20% - Accent1 5 2 2 6" xfId="3707" xr:uid="{5717490F-E377-4ECA-879B-0DD966BA2011}"/>
    <cellStyle name="20% - Accent1 5 2 2 6 2" xfId="7866" xr:uid="{1A245DE7-ABA0-4951-A281-C2AEF38568EB}"/>
    <cellStyle name="20% - Accent1 5 2 2 7" xfId="4537" xr:uid="{B19832BF-0BF5-4846-BB39-821746AC4247}"/>
    <cellStyle name="20% - Accent1 5 2 2 8" xfId="8713" xr:uid="{5A3316E0-1BBC-4A29-8A6F-9C35EE2162BC}"/>
    <cellStyle name="20% - Accent1 5 2 3" xfId="614" xr:uid="{00000000-0005-0000-0000-00002F000000}"/>
    <cellStyle name="20% - Accent1 5 2 3 2" xfId="1440" xr:uid="{F3B60AE7-5DF3-4904-B9E7-509017F8C351}"/>
    <cellStyle name="20% - Accent1 5 2 3 2 2" xfId="5572" xr:uid="{57E9F67E-757A-4B17-9256-29FBE9E82215}"/>
    <cellStyle name="20% - Accent1 5 2 3 3" xfId="2268" xr:uid="{AF16725A-8722-4C2C-A266-42F0FDD01AD8}"/>
    <cellStyle name="20% - Accent1 5 2 3 3 2" xfId="6399" xr:uid="{E3C300A1-C4E9-4951-B068-21E6410956AD}"/>
    <cellStyle name="20% - Accent1 5 2 3 4" xfId="3092" xr:uid="{11351232-26A7-4619-99DE-67DCF20DC0BA}"/>
    <cellStyle name="20% - Accent1 5 2 3 4 2" xfId="7223" xr:uid="{8DEB9ABA-A047-4B7C-8946-83FD62423EC5}"/>
    <cellStyle name="20% - Accent1 5 2 3 5" xfId="3916" xr:uid="{4E081C11-AC2A-4550-ADD8-828468730A23}"/>
    <cellStyle name="20% - Accent1 5 2 3 5 2" xfId="8075" xr:uid="{B60E2DD8-1DC8-4542-BDBF-9D2325349B0F}"/>
    <cellStyle name="20% - Accent1 5 2 3 6" xfId="4746" xr:uid="{EB4DBD33-7CED-43D3-9F79-6AF12183DF86}"/>
    <cellStyle name="20% - Accent1 5 2 3 7" xfId="8922" xr:uid="{45CB3583-55C8-4044-B948-30CD0BA27244}"/>
    <cellStyle name="20% - Accent1 5 2 4" xfId="1022" xr:uid="{E39796FE-AD1E-4887-A005-125F8F56076B}"/>
    <cellStyle name="20% - Accent1 5 2 4 2" xfId="5154" xr:uid="{3C9EFB17-DF2C-4E4E-A420-2A4701383B64}"/>
    <cellStyle name="20% - Accent1 5 2 5" xfId="1850" xr:uid="{6DEE8E40-10D6-4598-AD98-72F11A584B80}"/>
    <cellStyle name="20% - Accent1 5 2 5 2" xfId="5981" xr:uid="{EE4334A8-44B9-4915-8229-7FBC2126FDE6}"/>
    <cellStyle name="20% - Accent1 5 2 6" xfId="2674" xr:uid="{5635C7FC-7B6D-4B67-A06E-890EA788F280}"/>
    <cellStyle name="20% - Accent1 5 2 6 2" xfId="6805" xr:uid="{AC02815E-D76C-461D-9394-8094328CB401}"/>
    <cellStyle name="20% - Accent1 5 2 7" xfId="3498" xr:uid="{FDB451EC-6DD5-4E4E-ABA0-B0121D97B9B9}"/>
    <cellStyle name="20% - Accent1 5 2 7 2" xfId="7657" xr:uid="{B2A37696-16F2-4F4D-A87B-428DA66FE514}"/>
    <cellStyle name="20% - Accent1 5 2 8" xfId="4328" xr:uid="{9DB9C183-B2CA-4300-BCB5-4D861B3C117E}"/>
    <cellStyle name="20% - Accent1 5 2 9" xfId="8504" xr:uid="{C419ADF4-1A5F-4555-9E18-D652B969885D}"/>
    <cellStyle name="20% - Accent1 5 3" xfId="301" xr:uid="{00000000-0005-0000-0000-000030000000}"/>
    <cellStyle name="20% - Accent1 5 3 2" xfId="718" xr:uid="{00000000-0005-0000-0000-000031000000}"/>
    <cellStyle name="20% - Accent1 5 3 2 2" xfId="1544" xr:uid="{107E6D07-30AA-4E93-A6DA-CD287B044E96}"/>
    <cellStyle name="20% - Accent1 5 3 2 2 2" xfId="5676" xr:uid="{0CC2E018-1DEF-4A92-84A6-BC925249B5C6}"/>
    <cellStyle name="20% - Accent1 5 3 2 3" xfId="2372" xr:uid="{25A59096-F692-48A0-B53F-7CCEAB036EF0}"/>
    <cellStyle name="20% - Accent1 5 3 2 3 2" xfId="6503" xr:uid="{7434C64F-5743-4A9F-B979-A63EE67B9F06}"/>
    <cellStyle name="20% - Accent1 5 3 2 4" xfId="3196" xr:uid="{E6B3BBBF-D930-4D80-9188-BE0ABDA4D749}"/>
    <cellStyle name="20% - Accent1 5 3 2 4 2" xfId="7327" xr:uid="{BE2C3439-383D-431A-B990-6E0E39DE9F36}"/>
    <cellStyle name="20% - Accent1 5 3 2 5" xfId="4020" xr:uid="{2EFDB4D8-F14C-44D6-87D8-3BD91E28DA20}"/>
    <cellStyle name="20% - Accent1 5 3 2 5 2" xfId="8179" xr:uid="{A24D9AE2-8104-4860-9D28-D42176CEBB25}"/>
    <cellStyle name="20% - Accent1 5 3 2 6" xfId="4850" xr:uid="{30845D89-7DFA-42DE-9555-E2A050F110BA}"/>
    <cellStyle name="20% - Accent1 5 3 2 7" xfId="9026" xr:uid="{1727CB37-8945-4783-9DC1-76A8ABAEBD81}"/>
    <cellStyle name="20% - Accent1 5 3 3" xfId="1127" xr:uid="{E11E329A-2EED-4859-8225-A254FC224573}"/>
    <cellStyle name="20% - Accent1 5 3 3 2" xfId="5259" xr:uid="{1407E48D-6D7A-44F3-B759-F0C9D3E684C5}"/>
    <cellStyle name="20% - Accent1 5 3 4" xfId="1955" xr:uid="{4956CDB7-8442-4972-A513-18A91A84BD28}"/>
    <cellStyle name="20% - Accent1 5 3 4 2" xfId="6086" xr:uid="{D7B354DB-098D-486B-88BE-4ABDC504569B}"/>
    <cellStyle name="20% - Accent1 5 3 5" xfId="2779" xr:uid="{0BA9E40A-2F66-4FEC-B2E1-C11654C9EDD6}"/>
    <cellStyle name="20% - Accent1 5 3 5 2" xfId="6910" xr:uid="{872A5CA5-8C50-4C31-AF8D-3917A1105D51}"/>
    <cellStyle name="20% - Accent1 5 3 6" xfId="3603" xr:uid="{94B86D9E-5582-4E9E-9ECC-9D088954F396}"/>
    <cellStyle name="20% - Accent1 5 3 6 2" xfId="7762" xr:uid="{2D55CBFD-3654-48F9-A2EE-AD3620987560}"/>
    <cellStyle name="20% - Accent1 5 3 7" xfId="4433" xr:uid="{957C9229-EBEB-4022-8023-021D66F03A8E}"/>
    <cellStyle name="20% - Accent1 5 3 8" xfId="8609" xr:uid="{EC739984-CC4C-47DA-B67D-4F29BEEB77D6}"/>
    <cellStyle name="20% - Accent1 5 4" xfId="510" xr:uid="{00000000-0005-0000-0000-000032000000}"/>
    <cellStyle name="20% - Accent1 5 4 2" xfId="1336" xr:uid="{8F73F39C-4B80-4028-BB5E-A0A260B36178}"/>
    <cellStyle name="20% - Accent1 5 4 2 2" xfId="5468" xr:uid="{3A794BF7-B34F-4A9A-BE6F-3B821007A20C}"/>
    <cellStyle name="20% - Accent1 5 4 3" xfId="2164" xr:uid="{C4EEE1E7-EDA4-4DEC-B237-5F6FD2A50F77}"/>
    <cellStyle name="20% - Accent1 5 4 3 2" xfId="6295" xr:uid="{9849A045-D509-4515-90F6-4124AC1B8DDD}"/>
    <cellStyle name="20% - Accent1 5 4 4" xfId="2988" xr:uid="{D3F12738-2086-4D46-BAD8-A764486E4D1C}"/>
    <cellStyle name="20% - Accent1 5 4 4 2" xfId="7119" xr:uid="{2A0AEF2B-7C44-43D9-A6CA-82F9E9B150D9}"/>
    <cellStyle name="20% - Accent1 5 4 5" xfId="3812" xr:uid="{7162E13E-7834-4D07-AB90-425F09303400}"/>
    <cellStyle name="20% - Accent1 5 4 5 2" xfId="7971" xr:uid="{C0D36AB6-0624-4571-9839-53CE1B95C157}"/>
    <cellStyle name="20% - Accent1 5 4 6" xfId="4642" xr:uid="{BD53CC58-1295-4FF5-94D0-5990D4976D06}"/>
    <cellStyle name="20% - Accent1 5 4 7" xfId="8818" xr:uid="{36D59AC9-1547-42A9-88A0-2F26A5E08421}"/>
    <cellStyle name="20% - Accent1 5 5" xfId="917" xr:uid="{40235F6D-5E89-44B1-BCE9-F0AFBADE9117}"/>
    <cellStyle name="20% - Accent1 5 5 2" xfId="5049" xr:uid="{181DCEC5-4743-47AE-A001-28624C8B3EC0}"/>
    <cellStyle name="20% - Accent1 5 6" xfId="1745" xr:uid="{04E8345D-4609-4848-9F63-175C51A37F06}"/>
    <cellStyle name="20% - Accent1 5 6 2" xfId="5876" xr:uid="{830FEFF0-A31C-40D4-9D70-B4898868736D}"/>
    <cellStyle name="20% - Accent1 5 7" xfId="2569" xr:uid="{B885158F-A5CB-4274-AC0E-B9C20F61A613}"/>
    <cellStyle name="20% - Accent1 5 7 2" xfId="6700" xr:uid="{57813FA1-DB8D-438C-9B11-9DFB0AE69C09}"/>
    <cellStyle name="20% - Accent1 5 8" xfId="3393" xr:uid="{3C59C0E0-B301-404B-A2CB-BDB254B9AAA1}"/>
    <cellStyle name="20% - Accent1 5 8 2" xfId="7552" xr:uid="{6B42EF60-D92F-4D61-8341-CADF7B01E012}"/>
    <cellStyle name="20% - Accent1 5 9" xfId="4223" xr:uid="{438FDB72-64A7-458E-993D-D73F0AC7279E}"/>
    <cellStyle name="20% - Accent1 6" xfId="131" xr:uid="{00000000-0005-0000-0000-000033000000}"/>
    <cellStyle name="20% - Accent1 6 2" xfId="341" xr:uid="{00000000-0005-0000-0000-000034000000}"/>
    <cellStyle name="20% - Accent1 6 2 2" xfId="758" xr:uid="{00000000-0005-0000-0000-000035000000}"/>
    <cellStyle name="20% - Accent1 6 2 2 2" xfId="1584" xr:uid="{5CDB69EC-C960-4CD7-B6C8-9A22322546ED}"/>
    <cellStyle name="20% - Accent1 6 2 2 2 2" xfId="5716" xr:uid="{A5342D7B-764D-4B3F-BA9A-04FE983F6EA6}"/>
    <cellStyle name="20% - Accent1 6 2 2 3" xfId="2412" xr:uid="{8DB0F72D-B2B6-45C1-80DE-DE5FD7460246}"/>
    <cellStyle name="20% - Accent1 6 2 2 3 2" xfId="6543" xr:uid="{BDE20199-68C8-4869-80D6-707BB754CEA2}"/>
    <cellStyle name="20% - Accent1 6 2 2 4" xfId="3236" xr:uid="{B7FF4881-2161-4893-9EA0-8D38E736257F}"/>
    <cellStyle name="20% - Accent1 6 2 2 4 2" xfId="7367" xr:uid="{106F32FB-29B3-4E22-B318-11A6EDC49724}"/>
    <cellStyle name="20% - Accent1 6 2 2 5" xfId="4060" xr:uid="{51783AAB-81FF-4F4E-8EA2-0CFF94972405}"/>
    <cellStyle name="20% - Accent1 6 2 2 5 2" xfId="8219" xr:uid="{968241AF-33DF-48AC-8C13-C92E2E53933D}"/>
    <cellStyle name="20% - Accent1 6 2 2 6" xfId="4890" xr:uid="{61692A0C-A50F-41A6-8981-347259B11A44}"/>
    <cellStyle name="20% - Accent1 6 2 2 7" xfId="9066" xr:uid="{1C9F9DAE-3858-4A70-852B-8E58A69A879A}"/>
    <cellStyle name="20% - Accent1 6 2 3" xfId="1167" xr:uid="{68A2F867-9527-4937-B5D9-208BA88E7B80}"/>
    <cellStyle name="20% - Accent1 6 2 3 2" xfId="5299" xr:uid="{E3B026D2-3F67-41F1-A7C2-850167E04919}"/>
    <cellStyle name="20% - Accent1 6 2 4" xfId="1995" xr:uid="{EE2C3119-350F-42AB-8133-B940C97408AB}"/>
    <cellStyle name="20% - Accent1 6 2 4 2" xfId="6126" xr:uid="{6ADECD85-1FFE-49D4-BA9C-43DA8B7C0C35}"/>
    <cellStyle name="20% - Accent1 6 2 5" xfId="2819" xr:uid="{6559F5F1-6402-4D07-91B0-AACC3920F870}"/>
    <cellStyle name="20% - Accent1 6 2 5 2" xfId="6950" xr:uid="{5F470EFE-804C-40E4-AFAA-4A89776A2123}"/>
    <cellStyle name="20% - Accent1 6 2 6" xfId="3643" xr:uid="{3234427D-0F3A-45DF-87E8-DACDB4983ED9}"/>
    <cellStyle name="20% - Accent1 6 2 6 2" xfId="7802" xr:uid="{D4B62BFF-2D29-4381-B929-ADF6C3F5B549}"/>
    <cellStyle name="20% - Accent1 6 2 7" xfId="4473" xr:uid="{06127E6F-0DD0-42A2-8FBB-08BAB60BB8B2}"/>
    <cellStyle name="20% - Accent1 6 2 8" xfId="8649" xr:uid="{B2C0D24E-07DF-4077-AA90-5CD02D9C3F7B}"/>
    <cellStyle name="20% - Accent1 6 3" xfId="550" xr:uid="{00000000-0005-0000-0000-000036000000}"/>
    <cellStyle name="20% - Accent1 6 3 2" xfId="1376" xr:uid="{888787DA-36A6-4527-9E86-112EC99B565B}"/>
    <cellStyle name="20% - Accent1 6 3 2 2" xfId="5508" xr:uid="{60E2A051-C36C-4A8C-8D46-ABD379AD906C}"/>
    <cellStyle name="20% - Accent1 6 3 3" xfId="2204" xr:uid="{6200A79A-08B6-4197-A419-BBD97EE05B57}"/>
    <cellStyle name="20% - Accent1 6 3 3 2" xfId="6335" xr:uid="{EECF24D8-15A1-4BAE-923D-93DDB39A462D}"/>
    <cellStyle name="20% - Accent1 6 3 4" xfId="3028" xr:uid="{D2785798-7781-47B1-93C1-1C59B7A75735}"/>
    <cellStyle name="20% - Accent1 6 3 4 2" xfId="7159" xr:uid="{51C3AA0C-26D2-4922-B45F-1A011526534C}"/>
    <cellStyle name="20% - Accent1 6 3 5" xfId="3852" xr:uid="{F34F7AC5-BA08-4D62-86C4-4EEC8748190E}"/>
    <cellStyle name="20% - Accent1 6 3 5 2" xfId="8011" xr:uid="{C380D0AA-FB5B-460D-A596-FF0993763BEE}"/>
    <cellStyle name="20% - Accent1 6 3 6" xfId="4682" xr:uid="{70F41218-647E-48D4-AA16-C37EF32243D6}"/>
    <cellStyle name="20% - Accent1 6 3 7" xfId="8858" xr:uid="{7B9BC3E6-8CE7-4A27-9DE5-EC292ED0119A}"/>
    <cellStyle name="20% - Accent1 6 4" xfId="957" xr:uid="{27E3D20B-93D2-4CD6-A4BD-5CA5E9CCA0CC}"/>
    <cellStyle name="20% - Accent1 6 4 2" xfId="5089" xr:uid="{7417E445-7F13-45CA-9587-6B0F27819EC6}"/>
    <cellStyle name="20% - Accent1 6 5" xfId="1785" xr:uid="{A4DD44BA-8970-458A-A78F-0721D576072A}"/>
    <cellStyle name="20% - Accent1 6 5 2" xfId="5916" xr:uid="{B41E1CBF-C8CA-4F6C-954C-43BD365397FC}"/>
    <cellStyle name="20% - Accent1 6 6" xfId="2609" xr:uid="{578F8E7C-2C23-4521-B3F2-3E21253FDAA1}"/>
    <cellStyle name="20% - Accent1 6 6 2" xfId="6740" xr:uid="{DE3953DE-82A7-4738-8F4B-189C0F3BB89D}"/>
    <cellStyle name="20% - Accent1 6 7" xfId="3433" xr:uid="{2C0B7E0D-3DF1-46E3-A9E5-6EF887209498}"/>
    <cellStyle name="20% - Accent1 6 7 2" xfId="7592" xr:uid="{022C0012-80AF-4F4F-8FFE-D67FBBE19E52}"/>
    <cellStyle name="20% - Accent1 6 8" xfId="4263" xr:uid="{A5B35336-CE37-4CC0-89B4-4C1A36EA4476}"/>
    <cellStyle name="20% - Accent1 6 9" xfId="8439" xr:uid="{A567A7CA-3D54-4499-A8FC-30B81BB7C7B0}"/>
    <cellStyle name="20% - Accent1 7" xfId="144" xr:uid="{00000000-0005-0000-0000-000037000000}"/>
    <cellStyle name="20% - Accent1 7 2" xfId="353" xr:uid="{00000000-0005-0000-0000-000038000000}"/>
    <cellStyle name="20% - Accent1 7 2 2" xfId="770" xr:uid="{00000000-0005-0000-0000-000039000000}"/>
    <cellStyle name="20% - Accent1 7 2 2 2" xfId="1596" xr:uid="{43E06FB4-1691-41A7-88AA-09169E974538}"/>
    <cellStyle name="20% - Accent1 7 2 2 2 2" xfId="5728" xr:uid="{8653CD92-9542-4D4C-A410-85C446F864C9}"/>
    <cellStyle name="20% - Accent1 7 2 2 3" xfId="2424" xr:uid="{3E27C882-431E-4884-A037-06F809E0C298}"/>
    <cellStyle name="20% - Accent1 7 2 2 3 2" xfId="6555" xr:uid="{C1A9E512-30A1-4A7F-926B-7EDE85F10E13}"/>
    <cellStyle name="20% - Accent1 7 2 2 4" xfId="3248" xr:uid="{DA5BFD2C-4E21-41CF-9BA5-9C6FED4C2BCB}"/>
    <cellStyle name="20% - Accent1 7 2 2 4 2" xfId="7379" xr:uid="{ACAE6249-E56C-4D1D-A934-EFBDFCDD4D13}"/>
    <cellStyle name="20% - Accent1 7 2 2 5" xfId="4072" xr:uid="{09224A58-8B84-4E10-A046-C4B0E16CC2AF}"/>
    <cellStyle name="20% - Accent1 7 2 2 5 2" xfId="8231" xr:uid="{04FDB1A8-867E-49AA-9313-A061DEF66FCD}"/>
    <cellStyle name="20% - Accent1 7 2 2 6" xfId="4902" xr:uid="{8F65CB31-1F3F-47A2-BD84-346FC4A915A8}"/>
    <cellStyle name="20% - Accent1 7 2 2 7" xfId="9078" xr:uid="{BEC06EC6-A546-4E21-96F4-C44B351A7571}"/>
    <cellStyle name="20% - Accent1 7 2 3" xfId="1179" xr:uid="{80817151-000E-40DD-83C9-55428DAF5A36}"/>
    <cellStyle name="20% - Accent1 7 2 3 2" xfId="5311" xr:uid="{92E78F00-82AC-4054-9A27-15A13E693E74}"/>
    <cellStyle name="20% - Accent1 7 2 4" xfId="2007" xr:uid="{6B6AC9EF-356A-42D7-9948-124625450464}"/>
    <cellStyle name="20% - Accent1 7 2 4 2" xfId="6138" xr:uid="{61A4AC51-0412-420E-9528-EDE2AFF0E962}"/>
    <cellStyle name="20% - Accent1 7 2 5" xfId="2831" xr:uid="{D2B3A729-1F9B-43B0-808B-DF2D8BC02314}"/>
    <cellStyle name="20% - Accent1 7 2 5 2" xfId="6962" xr:uid="{4207202C-8EA4-401B-B856-2730597C15FD}"/>
    <cellStyle name="20% - Accent1 7 2 6" xfId="3655" xr:uid="{324432F0-0D3F-475C-BB35-A8F4E9058631}"/>
    <cellStyle name="20% - Accent1 7 2 6 2" xfId="7814" xr:uid="{63958ACA-D9C9-486E-969F-8EFF25B34748}"/>
    <cellStyle name="20% - Accent1 7 2 7" xfId="4485" xr:uid="{CAE88997-051B-41DB-B731-5BBB748E48D2}"/>
    <cellStyle name="20% - Accent1 7 2 8" xfId="8661" xr:uid="{D1E07D58-36D0-4995-8549-C55945ED6326}"/>
    <cellStyle name="20% - Accent1 7 3" xfId="562" xr:uid="{00000000-0005-0000-0000-00003A000000}"/>
    <cellStyle name="20% - Accent1 7 3 2" xfId="1388" xr:uid="{963AA685-8C67-4BC2-9D22-DC78A8176D5A}"/>
    <cellStyle name="20% - Accent1 7 3 2 2" xfId="5520" xr:uid="{78D0EE04-DD5F-41FE-8114-DADB3B72CB92}"/>
    <cellStyle name="20% - Accent1 7 3 3" xfId="2216" xr:uid="{8D129DEA-D806-42B7-A6AE-1D3D2579A166}"/>
    <cellStyle name="20% - Accent1 7 3 3 2" xfId="6347" xr:uid="{CA90BCE7-A994-417E-8D0A-3CF2203B8DF9}"/>
    <cellStyle name="20% - Accent1 7 3 4" xfId="3040" xr:uid="{67D41D04-B1C2-4849-A53B-31CDAFAAD641}"/>
    <cellStyle name="20% - Accent1 7 3 4 2" xfId="7171" xr:uid="{4F358B01-0D56-4824-B465-6302FCC531BC}"/>
    <cellStyle name="20% - Accent1 7 3 5" xfId="3864" xr:uid="{A5048782-B622-43E8-8EB0-C7DB7C5B0708}"/>
    <cellStyle name="20% - Accent1 7 3 5 2" xfId="8023" xr:uid="{CA5A2ED5-88F1-4EB0-8AA2-B9E604E7AD17}"/>
    <cellStyle name="20% - Accent1 7 3 6" xfId="4694" xr:uid="{55AF3981-7DFD-4CD7-96E9-B06121343025}"/>
    <cellStyle name="20% - Accent1 7 3 7" xfId="8870" xr:uid="{2EABC792-6E9F-4E2C-997B-8742699D4606}"/>
    <cellStyle name="20% - Accent1 7 4" xfId="970" xr:uid="{D36422E8-397E-47CA-A376-639EC8F6A818}"/>
    <cellStyle name="20% - Accent1 7 4 2" xfId="5102" xr:uid="{8630268B-DA1B-4547-AD5C-BFFED5113765}"/>
    <cellStyle name="20% - Accent1 7 5" xfId="1798" xr:uid="{F237D562-3557-44F4-9F8C-AFE54D598420}"/>
    <cellStyle name="20% - Accent1 7 5 2" xfId="5929" xr:uid="{3CC8555F-6594-47C5-B502-C557E062CC4A}"/>
    <cellStyle name="20% - Accent1 7 6" xfId="2622" xr:uid="{7C820E4F-231A-461C-BA71-E78A0B9EF9F2}"/>
    <cellStyle name="20% - Accent1 7 6 2" xfId="6753" xr:uid="{649A8F27-D9EF-41BA-91B8-89B1BA2EC0E6}"/>
    <cellStyle name="20% - Accent1 7 7" xfId="3446" xr:uid="{0311836B-0401-4CF9-8529-E8941659E9D0}"/>
    <cellStyle name="20% - Accent1 7 7 2" xfId="7605" xr:uid="{657CFFFE-6494-4BBE-8061-DF7D8D9520F7}"/>
    <cellStyle name="20% - Accent1 7 8" xfId="4276" xr:uid="{57EC15A1-F095-4231-97DF-D6AB8D9E0BC4}"/>
    <cellStyle name="20% - Accent1 7 9" xfId="8452" xr:uid="{75DE2EEA-D32E-459B-9686-CEFD744AD3EA}"/>
    <cellStyle name="20% - Accent1 8" xfId="236" xr:uid="{00000000-0005-0000-0000-00003B000000}"/>
    <cellStyle name="20% - Accent1 8 2" xfId="654" xr:uid="{00000000-0005-0000-0000-00003C000000}"/>
    <cellStyle name="20% - Accent1 8 2 2" xfId="1480" xr:uid="{2E587073-EB3F-4732-91E2-CE8B3926D45D}"/>
    <cellStyle name="20% - Accent1 8 2 2 2" xfId="5612" xr:uid="{0F47D691-4A28-40B8-8D1F-B426CC4F1A56}"/>
    <cellStyle name="20% - Accent1 8 2 3" xfId="2308" xr:uid="{2271FF4A-CB06-43BE-8A05-6B63180D60D7}"/>
    <cellStyle name="20% - Accent1 8 2 3 2" xfId="6439" xr:uid="{54930C2A-4913-4337-8B73-83033F6DE4F4}"/>
    <cellStyle name="20% - Accent1 8 2 4" xfId="3132" xr:uid="{3E83A305-6EDC-4600-9BD1-2CD2F9BF7791}"/>
    <cellStyle name="20% - Accent1 8 2 4 2" xfId="7263" xr:uid="{788A37E7-4ACB-426F-9929-B74F887DD115}"/>
    <cellStyle name="20% - Accent1 8 2 5" xfId="3956" xr:uid="{758E8B2A-852E-40C2-AA64-ED4EFDE720F7}"/>
    <cellStyle name="20% - Accent1 8 2 5 2" xfId="8115" xr:uid="{03BB4D09-9626-4FA6-A420-81EBB40298F1}"/>
    <cellStyle name="20% - Accent1 8 2 6" xfId="4786" xr:uid="{A31B1BD2-8342-46AA-B89B-264ED1D75BA9}"/>
    <cellStyle name="20% - Accent1 8 2 7" xfId="8962" xr:uid="{2B3D0742-06C1-44B1-AEF6-6004D37737DE}"/>
    <cellStyle name="20% - Accent1 8 3" xfId="1062" xr:uid="{5830DD93-37A4-4522-90E3-66E5E99A6BA5}"/>
    <cellStyle name="20% - Accent1 8 3 2" xfId="5194" xr:uid="{0F743778-3A64-47DC-B4D4-CD92E027B321}"/>
    <cellStyle name="20% - Accent1 8 4" xfId="1890" xr:uid="{DF34BD32-D638-4AF7-BBF9-4D44C4405A6D}"/>
    <cellStyle name="20% - Accent1 8 4 2" xfId="6021" xr:uid="{5BAEFD60-4733-4ED0-B5EB-7F33B8B0CE09}"/>
    <cellStyle name="20% - Accent1 8 5" xfId="2714" xr:uid="{09E7EC56-572A-4C3B-997D-8E78DFDCDDB6}"/>
    <cellStyle name="20% - Accent1 8 5 2" xfId="6845" xr:uid="{660CE702-6705-4E0A-91D6-631D075439BE}"/>
    <cellStyle name="20% - Accent1 8 6" xfId="3538" xr:uid="{F217B905-285B-4A92-9048-628CC717A881}"/>
    <cellStyle name="20% - Accent1 8 6 2" xfId="7697" xr:uid="{814295E5-AA41-4A9A-B1E9-C47F23D69EED}"/>
    <cellStyle name="20% - Accent1 8 7" xfId="4368" xr:uid="{2043650D-7509-4731-AA01-DE0230229C8C}"/>
    <cellStyle name="20% - Accent1 8 8" xfId="8544" xr:uid="{BCCB54C8-03FB-4A98-B8B9-96C0C1227883}"/>
    <cellStyle name="20% - Accent1 9" xfId="249" xr:uid="{00000000-0005-0000-0000-00003D000000}"/>
    <cellStyle name="20% - Accent1 9 2" xfId="666" xr:uid="{00000000-0005-0000-0000-00003E000000}"/>
    <cellStyle name="20% - Accent1 9 2 2" xfId="1492" xr:uid="{DCCC0AF9-6A0D-477B-92CC-207748A57902}"/>
    <cellStyle name="20% - Accent1 9 2 2 2" xfId="5624" xr:uid="{2C9B18CD-AEEB-4DE0-81BC-C8F9CFF96D20}"/>
    <cellStyle name="20% - Accent1 9 2 3" xfId="2320" xr:uid="{89859093-23CF-4EC5-A54E-B1305D9ACD32}"/>
    <cellStyle name="20% - Accent1 9 2 3 2" xfId="6451" xr:uid="{DEB87010-EBFE-4E22-AFA2-6F8EAA81814E}"/>
    <cellStyle name="20% - Accent1 9 2 4" xfId="3144" xr:uid="{FD1520CD-38A6-4D06-BFA1-E6B2D3FAE390}"/>
    <cellStyle name="20% - Accent1 9 2 4 2" xfId="7275" xr:uid="{C3481323-3611-4E82-A9BD-F3FA4DA5FEE1}"/>
    <cellStyle name="20% - Accent1 9 2 5" xfId="3968" xr:uid="{E29BC933-A2C7-435B-93BB-53C03451C6F0}"/>
    <cellStyle name="20% - Accent1 9 2 5 2" xfId="8127" xr:uid="{91DACCCA-69A6-448D-B81A-14DABA39C4C4}"/>
    <cellStyle name="20% - Accent1 9 2 6" xfId="4798" xr:uid="{736341B9-0B54-40CC-A44D-379AACA83A5A}"/>
    <cellStyle name="20% - Accent1 9 2 7" xfId="8974" xr:uid="{51C9420B-8768-4016-87B9-09785FF856F0}"/>
    <cellStyle name="20% - Accent1 9 3" xfId="1075" xr:uid="{B3D5A343-6914-44BA-9C8A-F60CEAD45647}"/>
    <cellStyle name="20% - Accent1 9 3 2" xfId="5207" xr:uid="{4FA590AA-FDFC-456F-B97C-107C6D7234F4}"/>
    <cellStyle name="20% - Accent1 9 4" xfId="1903" xr:uid="{12C31409-460D-482B-A1D4-0D5B397C329E}"/>
    <cellStyle name="20% - Accent1 9 4 2" xfId="6034" xr:uid="{D44EFC94-4F19-41EA-82AF-0B44D55E0892}"/>
    <cellStyle name="20% - Accent1 9 5" xfId="2727" xr:uid="{41C40740-5C6B-40B4-A2F9-FABEF53E0516}"/>
    <cellStyle name="20% - Accent1 9 5 2" xfId="6858" xr:uid="{E43936C8-E63F-459D-B1C6-628BBE4F6A06}"/>
    <cellStyle name="20% - Accent1 9 6" xfId="3551" xr:uid="{698045FC-F936-45DD-A5C5-625F3057137C}"/>
    <cellStyle name="20% - Accent1 9 6 2" xfId="7710" xr:uid="{162DF410-B695-459D-919A-D4CD7A5295F3}"/>
    <cellStyle name="20% - Accent1 9 7" xfId="4381" xr:uid="{07D248F9-E42B-427E-AB4B-D21B4DF8B8AB}"/>
    <cellStyle name="20% - Accent1 9 8" xfId="8557" xr:uid="{D1EF9341-7D26-4DC5-8741-9087BC1CE288}"/>
    <cellStyle name="20% - Accent2" xfId="26" builtinId="34" customBuiltin="1"/>
    <cellStyle name="20% - Accent2 10" xfId="447" xr:uid="{00000000-0005-0000-0000-000040000000}"/>
    <cellStyle name="20% - Accent2 10 2" xfId="1273" xr:uid="{D9B7ECAA-E392-4FF2-88F6-2382B7E5AC39}"/>
    <cellStyle name="20% - Accent2 10 2 2" xfId="5405" xr:uid="{0F91A386-A1DF-40BE-A1DD-DFD847B9EB1A}"/>
    <cellStyle name="20% - Accent2 10 3" xfId="2101" xr:uid="{EAF01293-5F88-4C8F-8EAE-76397C52C49B}"/>
    <cellStyle name="20% - Accent2 10 3 2" xfId="6232" xr:uid="{3CA2EC8C-47CE-4F04-8822-95687DDDBC87}"/>
    <cellStyle name="20% - Accent2 10 4" xfId="2925" xr:uid="{DC458B89-C708-40B4-ACED-01848AB702ED}"/>
    <cellStyle name="20% - Accent2 10 4 2" xfId="7056" xr:uid="{60C34D85-5B94-4CB7-ADF7-35C83E8DAFAF}"/>
    <cellStyle name="20% - Accent2 10 5" xfId="3749" xr:uid="{A637C91C-7CE7-4C72-B839-4311F9161955}"/>
    <cellStyle name="20% - Accent2 10 5 2" xfId="7908" xr:uid="{63F546E8-92B3-4306-A39E-0DE99B94C101}"/>
    <cellStyle name="20% - Accent2 10 6" xfId="4579" xr:uid="{25AC54FE-9019-462D-B8B5-B28540E51F7A}"/>
    <cellStyle name="20% - Accent2 10 7" xfId="8755" xr:uid="{3D867E37-6F22-4463-9970-54CE810E7C59}"/>
    <cellStyle name="20% - Accent2 11" xfId="460" xr:uid="{00000000-0005-0000-0000-000041000000}"/>
    <cellStyle name="20% - Accent2 11 2" xfId="1286" xr:uid="{B16CE19B-D560-495C-A3B6-7CF9ECE8B083}"/>
    <cellStyle name="20% - Accent2 11 2 2" xfId="5418" xr:uid="{3123A443-C27B-49EF-8AAC-7FFA09432861}"/>
    <cellStyle name="20% - Accent2 11 3" xfId="2114" xr:uid="{147941E1-8308-478D-A3A1-23D90DC0CA30}"/>
    <cellStyle name="20% - Accent2 11 3 2" xfId="6245" xr:uid="{C35FCDE3-846B-4DFC-A4C6-BAC570677D7D}"/>
    <cellStyle name="20% - Accent2 11 4" xfId="2938" xr:uid="{99DEB650-3876-4792-BF05-6C6AAF965874}"/>
    <cellStyle name="20% - Accent2 11 4 2" xfId="7069" xr:uid="{6EEE6C9E-E3C5-4EFF-ADFD-868E3A1D22E3}"/>
    <cellStyle name="20% - Accent2 11 5" xfId="3762" xr:uid="{6DB811E0-B9F1-4BAC-BF3D-EF661A26D667}"/>
    <cellStyle name="20% - Accent2 11 5 2" xfId="7921" xr:uid="{FAA5E9F7-9D16-40A2-9248-16B55562B5E7}"/>
    <cellStyle name="20% - Accent2 11 6" xfId="4592" xr:uid="{BE233D84-2D4B-416C-BFBA-A15202C7297E}"/>
    <cellStyle name="20% - Accent2 11 7" xfId="8768" xr:uid="{3582AA97-E40A-4D2C-BD2C-5D9D2A87D6DD}"/>
    <cellStyle name="20% - Accent2 12" xfId="865" xr:uid="{E65798BB-399D-4AD1-8E78-E0B5BCFA95E0}"/>
    <cellStyle name="20% - Accent2 12 2" xfId="4997" xr:uid="{E81FEE4A-B611-44E0-AFD6-4099423A185B}"/>
    <cellStyle name="20% - Accent2 13" xfId="1694" xr:uid="{06BB99C9-314A-4F18-9484-DB2BCF6C06A4}"/>
    <cellStyle name="20% - Accent2 13 2" xfId="5825" xr:uid="{110B43B6-68B2-4420-B5A9-00F9A485D847}"/>
    <cellStyle name="20% - Accent2 14" xfId="2518" xr:uid="{D565FA57-B592-4A9F-B097-75F1E7A1AB29}"/>
    <cellStyle name="20% - Accent2 14 2" xfId="6649" xr:uid="{EF65D7CF-F99C-4E6F-B81B-DA6925C57606}"/>
    <cellStyle name="20% - Accent2 15" xfId="3342" xr:uid="{2D0E1FC8-5FC2-46ED-BB40-A543129BD068}"/>
    <cellStyle name="20% - Accent2 15 2" xfId="7501" xr:uid="{E7863CE7-0AF3-4592-8C18-B5FAE391A1E7}"/>
    <cellStyle name="20% - Accent2 16" xfId="4171" xr:uid="{6E7D5821-490E-455A-8FCA-9379FFD609E1}"/>
    <cellStyle name="20% - Accent2 17" xfId="8348" xr:uid="{0FEFC254-C51D-41EB-B6D6-46D8CE342539}"/>
    <cellStyle name="20% - Accent2 2" xfId="54" xr:uid="{00000000-0005-0000-0000-000042000000}"/>
    <cellStyle name="20% - Accent2 2 10" xfId="4186" xr:uid="{1CD09713-9F37-4454-B295-768547102E75}"/>
    <cellStyle name="20% - Accent2 2 11" xfId="8362" xr:uid="{07E17AED-0C01-493B-9862-691677A71F32}"/>
    <cellStyle name="20% - Accent2 2 2" xfId="107" xr:uid="{00000000-0005-0000-0000-000043000000}"/>
    <cellStyle name="20% - Accent2 2 2 10" xfId="8415" xr:uid="{849BF6E6-7FB9-4E20-812E-4F110DA8EFA1}"/>
    <cellStyle name="20% - Accent2 2 2 2" xfId="212" xr:uid="{00000000-0005-0000-0000-000044000000}"/>
    <cellStyle name="20% - Accent2 2 2 2 2" xfId="421" xr:uid="{00000000-0005-0000-0000-000045000000}"/>
    <cellStyle name="20% - Accent2 2 2 2 2 2" xfId="838" xr:uid="{00000000-0005-0000-0000-000046000000}"/>
    <cellStyle name="20% - Accent2 2 2 2 2 2 2" xfId="1664" xr:uid="{0078F6E2-0A46-4758-8A84-FF3C27E91898}"/>
    <cellStyle name="20% - Accent2 2 2 2 2 2 2 2" xfId="5796" xr:uid="{42B5F46C-A826-469B-8490-052B28860888}"/>
    <cellStyle name="20% - Accent2 2 2 2 2 2 3" xfId="2492" xr:uid="{F3148869-945D-48D6-8B6E-3BCD8A5E0B34}"/>
    <cellStyle name="20% - Accent2 2 2 2 2 2 3 2" xfId="6623" xr:uid="{BF7B16A4-5120-4F71-B545-61FC0DB12909}"/>
    <cellStyle name="20% - Accent2 2 2 2 2 2 4" xfId="3316" xr:uid="{6D40E831-0217-4C88-BC52-075D42C41588}"/>
    <cellStyle name="20% - Accent2 2 2 2 2 2 4 2" xfId="7447" xr:uid="{E38FA769-6BEB-4DDA-A46A-099FCD4234BA}"/>
    <cellStyle name="20% - Accent2 2 2 2 2 2 5" xfId="4140" xr:uid="{4CF8BD95-1CEE-4ADA-AB35-58B21000A80D}"/>
    <cellStyle name="20% - Accent2 2 2 2 2 2 5 2" xfId="8299" xr:uid="{E7727F9C-AF80-479D-A276-7F07542CEB36}"/>
    <cellStyle name="20% - Accent2 2 2 2 2 2 6" xfId="4970" xr:uid="{EAE66C79-40B3-4537-8FAB-57B48063CCA6}"/>
    <cellStyle name="20% - Accent2 2 2 2 2 2 7" xfId="9146" xr:uid="{7B468157-049C-4C0C-AAA0-A1B7D2852533}"/>
    <cellStyle name="20% - Accent2 2 2 2 2 3" xfId="1247" xr:uid="{39D4AA49-2322-4707-8D2E-854FC01474AC}"/>
    <cellStyle name="20% - Accent2 2 2 2 2 3 2" xfId="5379" xr:uid="{FA6F3B32-173D-4C31-8C09-FE0114C429A9}"/>
    <cellStyle name="20% - Accent2 2 2 2 2 4" xfId="2075" xr:uid="{E9263527-A29D-4D80-889A-3923AEA0A5FC}"/>
    <cellStyle name="20% - Accent2 2 2 2 2 4 2" xfId="6206" xr:uid="{7CD52A7C-8DF8-4C7F-A979-EA98D7790068}"/>
    <cellStyle name="20% - Accent2 2 2 2 2 5" xfId="2899" xr:uid="{7B31E378-4318-499C-9808-B06964EAA12C}"/>
    <cellStyle name="20% - Accent2 2 2 2 2 5 2" xfId="7030" xr:uid="{DCAC4552-1241-4A07-9F32-32F02342D74D}"/>
    <cellStyle name="20% - Accent2 2 2 2 2 6" xfId="3723" xr:uid="{F32CE87C-4A37-4FD0-A587-BC38A3CC2A7A}"/>
    <cellStyle name="20% - Accent2 2 2 2 2 6 2" xfId="7882" xr:uid="{B80E1E04-E216-4E5E-AD82-0ED8F7E9D517}"/>
    <cellStyle name="20% - Accent2 2 2 2 2 7" xfId="4553" xr:uid="{D46CB247-E6C1-4B5C-A171-AAB9AF78A63C}"/>
    <cellStyle name="20% - Accent2 2 2 2 2 8" xfId="8729" xr:uid="{6367BB46-286E-4833-9B18-AF3E9CC0E21E}"/>
    <cellStyle name="20% - Accent2 2 2 2 3" xfId="630" xr:uid="{00000000-0005-0000-0000-000047000000}"/>
    <cellStyle name="20% - Accent2 2 2 2 3 2" xfId="1456" xr:uid="{07083AA8-525C-41D0-87C0-4F971E216EF4}"/>
    <cellStyle name="20% - Accent2 2 2 2 3 2 2" xfId="5588" xr:uid="{B25BDDBF-C486-4387-A60C-E941D4BEBC1D}"/>
    <cellStyle name="20% - Accent2 2 2 2 3 3" xfId="2284" xr:uid="{F7881A16-7B15-4355-BA27-F5A46A88366D}"/>
    <cellStyle name="20% - Accent2 2 2 2 3 3 2" xfId="6415" xr:uid="{1BDB554A-3288-4797-A104-4EE8078C0A23}"/>
    <cellStyle name="20% - Accent2 2 2 2 3 4" xfId="3108" xr:uid="{780E352E-3C19-4072-A843-4B88DC87AF2A}"/>
    <cellStyle name="20% - Accent2 2 2 2 3 4 2" xfId="7239" xr:uid="{B3F8B772-60BC-4E43-8B8B-00E66E07A877}"/>
    <cellStyle name="20% - Accent2 2 2 2 3 5" xfId="3932" xr:uid="{2206A70A-D015-43F0-96AC-EC210E7590E1}"/>
    <cellStyle name="20% - Accent2 2 2 2 3 5 2" xfId="8091" xr:uid="{4D14072A-6A40-4DAA-9BB5-BCE91FC3C6D2}"/>
    <cellStyle name="20% - Accent2 2 2 2 3 6" xfId="4762" xr:uid="{F4F987C9-B972-44EB-8481-4DC6CAA8F882}"/>
    <cellStyle name="20% - Accent2 2 2 2 3 7" xfId="8938" xr:uid="{6C39EA41-FEA6-4770-8AC9-5AF59FD3517C}"/>
    <cellStyle name="20% - Accent2 2 2 2 4" xfId="1038" xr:uid="{A8799398-0072-4290-B979-BFC37D70270F}"/>
    <cellStyle name="20% - Accent2 2 2 2 4 2" xfId="5170" xr:uid="{227C15DA-CA52-41B2-B17D-F04A43200A14}"/>
    <cellStyle name="20% - Accent2 2 2 2 5" xfId="1866" xr:uid="{632679DA-BDC0-445C-98AD-734F8F734623}"/>
    <cellStyle name="20% - Accent2 2 2 2 5 2" xfId="5997" xr:uid="{F00DF4EF-714E-4505-85AC-EFFB4EC50A7C}"/>
    <cellStyle name="20% - Accent2 2 2 2 6" xfId="2690" xr:uid="{8C6A8B87-1E54-4145-8817-6ED2CE1AC0C2}"/>
    <cellStyle name="20% - Accent2 2 2 2 6 2" xfId="6821" xr:uid="{50DCEAFC-1DD1-458C-AACE-FC1472204571}"/>
    <cellStyle name="20% - Accent2 2 2 2 7" xfId="3514" xr:uid="{924A72E6-F870-4C2B-AB8B-3B2EAC3EE660}"/>
    <cellStyle name="20% - Accent2 2 2 2 7 2" xfId="7673" xr:uid="{39A4E612-40F6-4C3D-9070-451A74D909C2}"/>
    <cellStyle name="20% - Accent2 2 2 2 8" xfId="4344" xr:uid="{BA440D6F-9863-4927-ACF4-5DB3F1CF1F5E}"/>
    <cellStyle name="20% - Accent2 2 2 2 9" xfId="8520" xr:uid="{DE9485A2-D144-4536-9ECF-72310B8A0636}"/>
    <cellStyle name="20% - Accent2 2 2 3" xfId="317" xr:uid="{00000000-0005-0000-0000-000048000000}"/>
    <cellStyle name="20% - Accent2 2 2 3 2" xfId="734" xr:uid="{00000000-0005-0000-0000-000049000000}"/>
    <cellStyle name="20% - Accent2 2 2 3 2 2" xfId="1560" xr:uid="{B4CAA650-B458-4C0A-AD70-0D8247AFD27A}"/>
    <cellStyle name="20% - Accent2 2 2 3 2 2 2" xfId="5692" xr:uid="{CE447699-6CA9-43B5-A787-AF5486FF6E8B}"/>
    <cellStyle name="20% - Accent2 2 2 3 2 3" xfId="2388" xr:uid="{D110AF1C-E364-41B6-9E7A-186E3DA70DC1}"/>
    <cellStyle name="20% - Accent2 2 2 3 2 3 2" xfId="6519" xr:uid="{66613C61-A105-4A9F-ABD7-F4F2A88DD9F3}"/>
    <cellStyle name="20% - Accent2 2 2 3 2 4" xfId="3212" xr:uid="{C4EFF425-A84C-4B3F-A82C-B6C87AC4B717}"/>
    <cellStyle name="20% - Accent2 2 2 3 2 4 2" xfId="7343" xr:uid="{E89CE96D-175F-4C91-9B5B-EDB8682EB096}"/>
    <cellStyle name="20% - Accent2 2 2 3 2 5" xfId="4036" xr:uid="{E7888C5B-FDD1-4354-A03E-551156341FCE}"/>
    <cellStyle name="20% - Accent2 2 2 3 2 5 2" xfId="8195" xr:uid="{597392DB-FB03-4611-ABB6-DCAA6D5D4C38}"/>
    <cellStyle name="20% - Accent2 2 2 3 2 6" xfId="4866" xr:uid="{C44F767B-EF27-4911-B3EE-900ADDF49436}"/>
    <cellStyle name="20% - Accent2 2 2 3 2 7" xfId="9042" xr:uid="{9FD78B5A-4681-49B9-992D-FC90FAF4FEFB}"/>
    <cellStyle name="20% - Accent2 2 2 3 3" xfId="1143" xr:uid="{38CBBFA1-DE52-4708-B86C-B8050ED1C3D2}"/>
    <cellStyle name="20% - Accent2 2 2 3 3 2" xfId="5275" xr:uid="{1C3D0FC5-0222-46E0-BCFA-E84114530814}"/>
    <cellStyle name="20% - Accent2 2 2 3 4" xfId="1971" xr:uid="{5D837F00-529A-48F7-A6FB-FC6B5ED93C03}"/>
    <cellStyle name="20% - Accent2 2 2 3 4 2" xfId="6102" xr:uid="{8541E242-A625-4E94-93BE-C8589FA26975}"/>
    <cellStyle name="20% - Accent2 2 2 3 5" xfId="2795" xr:uid="{D27C720C-EB65-4E83-849E-668AD1CAD878}"/>
    <cellStyle name="20% - Accent2 2 2 3 5 2" xfId="6926" xr:uid="{0C70E1AD-0173-4D49-98AD-A83E07470EF1}"/>
    <cellStyle name="20% - Accent2 2 2 3 6" xfId="3619" xr:uid="{5F2DA8B4-3009-4E2C-826A-8331EB110A63}"/>
    <cellStyle name="20% - Accent2 2 2 3 6 2" xfId="7778" xr:uid="{3A7C40D6-D9AF-490E-AB3B-3078ED265593}"/>
    <cellStyle name="20% - Accent2 2 2 3 7" xfId="4449" xr:uid="{C0C8E6E1-080D-423E-9370-4FC587D65408}"/>
    <cellStyle name="20% - Accent2 2 2 3 8" xfId="8625" xr:uid="{E377BCDD-2F06-4104-AEEC-5DCA6A0FDFD9}"/>
    <cellStyle name="20% - Accent2 2 2 4" xfId="526" xr:uid="{00000000-0005-0000-0000-00004A000000}"/>
    <cellStyle name="20% - Accent2 2 2 4 2" xfId="1352" xr:uid="{836FF39F-8E72-4E0F-BE3F-1E4EB56FB896}"/>
    <cellStyle name="20% - Accent2 2 2 4 2 2" xfId="5484" xr:uid="{793648B3-CA29-4544-804D-9674986A8228}"/>
    <cellStyle name="20% - Accent2 2 2 4 3" xfId="2180" xr:uid="{63C5841A-CC67-4986-93FC-15D84223BEEA}"/>
    <cellStyle name="20% - Accent2 2 2 4 3 2" xfId="6311" xr:uid="{8BFDCFEF-7F3D-4F08-B458-066133449175}"/>
    <cellStyle name="20% - Accent2 2 2 4 4" xfId="3004" xr:uid="{20F2C817-C2EF-452E-85E5-EE94D5E560AD}"/>
    <cellStyle name="20% - Accent2 2 2 4 4 2" xfId="7135" xr:uid="{44AE3ED4-F455-4714-894A-B9C466CEA5D6}"/>
    <cellStyle name="20% - Accent2 2 2 4 5" xfId="3828" xr:uid="{52AE528E-BD16-4DE0-A111-C3A8051BE15A}"/>
    <cellStyle name="20% - Accent2 2 2 4 5 2" xfId="7987" xr:uid="{AE544643-2A92-4373-8594-FA2B390F0D50}"/>
    <cellStyle name="20% - Accent2 2 2 4 6" xfId="4658" xr:uid="{9E81A04B-42FA-4818-92A3-9FF86D372EA2}"/>
    <cellStyle name="20% - Accent2 2 2 4 7" xfId="8834" xr:uid="{6F6C66F9-7324-49C7-8480-A26A7C5A9EA1}"/>
    <cellStyle name="20% - Accent2 2 2 5" xfId="933" xr:uid="{CD490532-89BE-4DBA-A059-AF935F0D7751}"/>
    <cellStyle name="20% - Accent2 2 2 5 2" xfId="5065" xr:uid="{2A07CF29-A115-4C28-8799-3DB2C9D20A2B}"/>
    <cellStyle name="20% - Accent2 2 2 6" xfId="1761" xr:uid="{F37E9A8A-6B18-4D03-BCEE-69147AC335DF}"/>
    <cellStyle name="20% - Accent2 2 2 6 2" xfId="5892" xr:uid="{6D6CDD65-A7E9-4A6C-805B-CF033FD7F25A}"/>
    <cellStyle name="20% - Accent2 2 2 7" xfId="2585" xr:uid="{C559DC24-5BA9-49FB-95A0-621E79EBDC5C}"/>
    <cellStyle name="20% - Accent2 2 2 7 2" xfId="6716" xr:uid="{4F9FA307-5B91-41EB-B593-CEB030B04081}"/>
    <cellStyle name="20% - Accent2 2 2 8" xfId="3409" xr:uid="{7D9E2D72-222A-4B1F-AAD1-D5ACCF95D7C4}"/>
    <cellStyle name="20% - Accent2 2 2 8 2" xfId="7568" xr:uid="{84092D4D-D608-470C-8974-79BAB442FE66}"/>
    <cellStyle name="20% - Accent2 2 2 9" xfId="4239" xr:uid="{6A1F9CB6-31CE-4C75-B4BF-4E940B242517}"/>
    <cellStyle name="20% - Accent2 2 3" xfId="160" xr:uid="{00000000-0005-0000-0000-00004B000000}"/>
    <cellStyle name="20% - Accent2 2 3 2" xfId="369" xr:uid="{00000000-0005-0000-0000-00004C000000}"/>
    <cellStyle name="20% - Accent2 2 3 2 2" xfId="786" xr:uid="{00000000-0005-0000-0000-00004D000000}"/>
    <cellStyle name="20% - Accent2 2 3 2 2 2" xfId="1612" xr:uid="{CBDDDFC2-7DC4-4CE3-A707-C9807E7662F8}"/>
    <cellStyle name="20% - Accent2 2 3 2 2 2 2" xfId="5744" xr:uid="{63EE3D03-2DF4-4752-8AA0-740A93B72E07}"/>
    <cellStyle name="20% - Accent2 2 3 2 2 3" xfId="2440" xr:uid="{14C9CF0C-B107-4326-9C10-A6629A874F94}"/>
    <cellStyle name="20% - Accent2 2 3 2 2 3 2" xfId="6571" xr:uid="{AF52BA34-F630-479C-A650-BC4049512223}"/>
    <cellStyle name="20% - Accent2 2 3 2 2 4" xfId="3264" xr:uid="{24411EF0-8B5F-41BC-88D8-6244128EC4EE}"/>
    <cellStyle name="20% - Accent2 2 3 2 2 4 2" xfId="7395" xr:uid="{B4993974-F803-4A60-8706-A3D9EEB8D1B4}"/>
    <cellStyle name="20% - Accent2 2 3 2 2 5" xfId="4088" xr:uid="{54DF378F-A414-4678-83EE-95807A8E6CF4}"/>
    <cellStyle name="20% - Accent2 2 3 2 2 5 2" xfId="8247" xr:uid="{A8E6C329-C7A8-4577-B8CB-9C77481B1E86}"/>
    <cellStyle name="20% - Accent2 2 3 2 2 6" xfId="4918" xr:uid="{EA946016-E32F-4D71-B0E4-6416940CDD83}"/>
    <cellStyle name="20% - Accent2 2 3 2 2 7" xfId="9094" xr:uid="{C8C82BCB-88AF-4AA4-B9F2-8D83A3B37693}"/>
    <cellStyle name="20% - Accent2 2 3 2 3" xfId="1195" xr:uid="{FFAD0E28-C738-4014-AB28-2954F7D373A3}"/>
    <cellStyle name="20% - Accent2 2 3 2 3 2" xfId="5327" xr:uid="{240A3C9F-5F88-46BD-88D3-C0F8257C1D2E}"/>
    <cellStyle name="20% - Accent2 2 3 2 4" xfId="2023" xr:uid="{43CDE8BE-6129-448E-BE46-AC743C8895D4}"/>
    <cellStyle name="20% - Accent2 2 3 2 4 2" xfId="6154" xr:uid="{98DE6D80-E4AA-4F2D-9556-F3ECB1D8D318}"/>
    <cellStyle name="20% - Accent2 2 3 2 5" xfId="2847" xr:uid="{24FB386E-D19D-4E80-B910-D20943EA3B34}"/>
    <cellStyle name="20% - Accent2 2 3 2 5 2" xfId="6978" xr:uid="{77BCFA3F-DF02-4031-8958-9AB83AB7DF01}"/>
    <cellStyle name="20% - Accent2 2 3 2 6" xfId="3671" xr:uid="{A32F9BB3-FFA8-4160-8776-EF081C9C72BB}"/>
    <cellStyle name="20% - Accent2 2 3 2 6 2" xfId="7830" xr:uid="{0FB47D76-C1A9-4B7B-9427-16E7796D836C}"/>
    <cellStyle name="20% - Accent2 2 3 2 7" xfId="4501" xr:uid="{61E59400-FD13-48B1-A29A-D87C82420DC5}"/>
    <cellStyle name="20% - Accent2 2 3 2 8" xfId="8677" xr:uid="{52F41580-6A31-4576-ACE5-3200D18C7D72}"/>
    <cellStyle name="20% - Accent2 2 3 3" xfId="578" xr:uid="{00000000-0005-0000-0000-00004E000000}"/>
    <cellStyle name="20% - Accent2 2 3 3 2" xfId="1404" xr:uid="{4C3A0F6B-FE38-44DB-9C12-77235C276FFE}"/>
    <cellStyle name="20% - Accent2 2 3 3 2 2" xfId="5536" xr:uid="{226FC3B1-61CA-49CC-B6CB-4BE4C6BC56F6}"/>
    <cellStyle name="20% - Accent2 2 3 3 3" xfId="2232" xr:uid="{79ACE969-1E71-4C07-BB14-50627B7A7B08}"/>
    <cellStyle name="20% - Accent2 2 3 3 3 2" xfId="6363" xr:uid="{BF1CB182-9822-4002-B201-852C93E739F2}"/>
    <cellStyle name="20% - Accent2 2 3 3 4" xfId="3056" xr:uid="{2B10DFBF-CBD1-455C-AE0B-C835ECC0FBF9}"/>
    <cellStyle name="20% - Accent2 2 3 3 4 2" xfId="7187" xr:uid="{4B73784D-647C-43AD-B4E7-2B4AB2846C41}"/>
    <cellStyle name="20% - Accent2 2 3 3 5" xfId="3880" xr:uid="{F309C78F-6A89-438A-8F86-4FA223E18FC6}"/>
    <cellStyle name="20% - Accent2 2 3 3 5 2" xfId="8039" xr:uid="{25DAC09D-4DD2-4795-B71F-0041D3D79FCB}"/>
    <cellStyle name="20% - Accent2 2 3 3 6" xfId="4710" xr:uid="{A8D67364-3EC7-4464-9BAE-1E51A098EE75}"/>
    <cellStyle name="20% - Accent2 2 3 3 7" xfId="8886" xr:uid="{680B4E55-703F-40E8-9736-912AC08F280B}"/>
    <cellStyle name="20% - Accent2 2 3 4" xfId="986" xr:uid="{3C92E55D-2595-4105-A831-BA35B495FAE6}"/>
    <cellStyle name="20% - Accent2 2 3 4 2" xfId="5118" xr:uid="{2748917C-CC05-4B20-BDAF-BBB600CC245F}"/>
    <cellStyle name="20% - Accent2 2 3 5" xfId="1814" xr:uid="{949A728C-4799-427B-8B15-1D4F6C7B8F59}"/>
    <cellStyle name="20% - Accent2 2 3 5 2" xfId="5945" xr:uid="{106AF05C-1C31-4047-9BA7-A523059E8181}"/>
    <cellStyle name="20% - Accent2 2 3 6" xfId="2638" xr:uid="{85DA5D84-77A5-45C6-B215-D4CB125DFD2C}"/>
    <cellStyle name="20% - Accent2 2 3 6 2" xfId="6769" xr:uid="{F49593A0-8F83-4F89-8C07-9132AD2B6F76}"/>
    <cellStyle name="20% - Accent2 2 3 7" xfId="3462" xr:uid="{F4976C3C-9FC3-4125-8F44-89E2AD01CCFD}"/>
    <cellStyle name="20% - Accent2 2 3 7 2" xfId="7621" xr:uid="{DC0AB0D3-8349-446D-97AC-51928ED9BD3B}"/>
    <cellStyle name="20% - Accent2 2 3 8" xfId="4292" xr:uid="{400F4315-82D9-4ED6-B807-95ED4BB07F99}"/>
    <cellStyle name="20% - Accent2 2 3 9" xfId="8468" xr:uid="{FDD932D4-EB67-4CE3-818D-D9476497A648}"/>
    <cellStyle name="20% - Accent2 2 4" xfId="265" xr:uid="{00000000-0005-0000-0000-00004F000000}"/>
    <cellStyle name="20% - Accent2 2 4 2" xfId="682" xr:uid="{00000000-0005-0000-0000-000050000000}"/>
    <cellStyle name="20% - Accent2 2 4 2 2" xfId="1508" xr:uid="{7D7485BC-0302-4BF3-8447-0A4918799E5F}"/>
    <cellStyle name="20% - Accent2 2 4 2 2 2" xfId="5640" xr:uid="{3CAC3257-EBD8-469E-A06A-E1750A18A015}"/>
    <cellStyle name="20% - Accent2 2 4 2 3" xfId="2336" xr:uid="{6C22FFE6-23F9-4865-839F-803FBDF14075}"/>
    <cellStyle name="20% - Accent2 2 4 2 3 2" xfId="6467" xr:uid="{9DA38535-7EFE-43DF-9329-32A129846D17}"/>
    <cellStyle name="20% - Accent2 2 4 2 4" xfId="3160" xr:uid="{FF0E4942-B826-46A5-9453-525340835779}"/>
    <cellStyle name="20% - Accent2 2 4 2 4 2" xfId="7291" xr:uid="{E9D415C4-BD2F-43A5-9DD6-CF73C8B780B5}"/>
    <cellStyle name="20% - Accent2 2 4 2 5" xfId="3984" xr:uid="{DCE36AF0-4AEC-4B18-B30D-1EC62505A762}"/>
    <cellStyle name="20% - Accent2 2 4 2 5 2" xfId="8143" xr:uid="{1A7285CA-B40B-40EC-89E4-62216CC2C2AA}"/>
    <cellStyle name="20% - Accent2 2 4 2 6" xfId="4814" xr:uid="{72CC07FD-FE94-4C08-AB94-C033EAC2E0F1}"/>
    <cellStyle name="20% - Accent2 2 4 2 7" xfId="8990" xr:uid="{4A93F84F-C7AB-4C5C-86E4-C951BA28222F}"/>
    <cellStyle name="20% - Accent2 2 4 3" xfId="1091" xr:uid="{5FA49D0A-4F0F-47CC-8C1F-7D0A723EE769}"/>
    <cellStyle name="20% - Accent2 2 4 3 2" xfId="5223" xr:uid="{20D0E1CC-A21A-490E-BA63-3A0B2C2383F7}"/>
    <cellStyle name="20% - Accent2 2 4 4" xfId="1919" xr:uid="{DF06AC87-76A9-472F-8ECF-D98C6B69B610}"/>
    <cellStyle name="20% - Accent2 2 4 4 2" xfId="6050" xr:uid="{E07DD101-521D-4E6B-93EF-39552766B588}"/>
    <cellStyle name="20% - Accent2 2 4 5" xfId="2743" xr:uid="{0227508C-C2C3-47DC-8E4A-41C5E5B4F56F}"/>
    <cellStyle name="20% - Accent2 2 4 5 2" xfId="6874" xr:uid="{C2A399B0-8D4F-4E75-928F-8939810C4D92}"/>
    <cellStyle name="20% - Accent2 2 4 6" xfId="3567" xr:uid="{0A05AEF8-9543-476B-B4B9-08B7A677682D}"/>
    <cellStyle name="20% - Accent2 2 4 6 2" xfId="7726" xr:uid="{3C6C2442-75B6-4241-AACB-56707C000BDC}"/>
    <cellStyle name="20% - Accent2 2 4 7" xfId="4397" xr:uid="{625FBFFC-473A-4B95-A3EC-595A9D9D7F6A}"/>
    <cellStyle name="20% - Accent2 2 4 8" xfId="8573" xr:uid="{A170FD1E-433A-40D0-B504-983A574397E9}"/>
    <cellStyle name="20% - Accent2 2 5" xfId="474" xr:uid="{00000000-0005-0000-0000-000051000000}"/>
    <cellStyle name="20% - Accent2 2 5 2" xfId="1300" xr:uid="{280FC50D-65DC-4AFC-A9AD-A6F9B4597D91}"/>
    <cellStyle name="20% - Accent2 2 5 2 2" xfId="5432" xr:uid="{D77F5E38-6F27-4066-8DF7-C0F8E94B937D}"/>
    <cellStyle name="20% - Accent2 2 5 3" xfId="2128" xr:uid="{7960A54E-2FB3-4241-A784-5323D86DBFE8}"/>
    <cellStyle name="20% - Accent2 2 5 3 2" xfId="6259" xr:uid="{F5DCA27F-4695-4346-A17E-38692F5FB3E3}"/>
    <cellStyle name="20% - Accent2 2 5 4" xfId="2952" xr:uid="{FF04F036-A772-4D1B-9B10-12FBA92444E5}"/>
    <cellStyle name="20% - Accent2 2 5 4 2" xfId="7083" xr:uid="{2D3C6F50-6AAE-4569-9C29-D3C18E18C8A3}"/>
    <cellStyle name="20% - Accent2 2 5 5" xfId="3776" xr:uid="{00AE301C-E2FC-4997-BF3F-E2928BEB367D}"/>
    <cellStyle name="20% - Accent2 2 5 5 2" xfId="7935" xr:uid="{B8AF9854-D74C-4194-BAC7-A153C80BDAA6}"/>
    <cellStyle name="20% - Accent2 2 5 6" xfId="4606" xr:uid="{DED561B4-F669-407D-A01E-4068B5383F87}"/>
    <cellStyle name="20% - Accent2 2 5 7" xfId="8782" xr:uid="{F6E4BA8E-5807-4941-9A1A-74EA9B5D1C1C}"/>
    <cellStyle name="20% - Accent2 2 6" xfId="880" xr:uid="{6F6558B1-65A3-426C-91C9-D54F58ACCAB1}"/>
    <cellStyle name="20% - Accent2 2 6 2" xfId="5012" xr:uid="{654AA199-EE83-42B4-ABD9-F1C97242334B}"/>
    <cellStyle name="20% - Accent2 2 7" xfId="1708" xr:uid="{3B73BB80-5DE5-4E3B-96A5-6A0DE13731C5}"/>
    <cellStyle name="20% - Accent2 2 7 2" xfId="5839" xr:uid="{9DBCB7E2-E05D-463C-AA2E-079459F103A4}"/>
    <cellStyle name="20% - Accent2 2 8" xfId="2532" xr:uid="{FA93CD0A-1A75-4858-91E5-0DD98554983E}"/>
    <cellStyle name="20% - Accent2 2 8 2" xfId="6663" xr:uid="{A4D5417B-6204-4916-BCF3-19BA87F166E1}"/>
    <cellStyle name="20% - Accent2 2 9" xfId="3356" xr:uid="{0429366F-0F80-4DBD-AEB9-A669691FFD1C}"/>
    <cellStyle name="20% - Accent2 2 9 2" xfId="7515" xr:uid="{391F6E75-8A68-4870-922A-7BDC3A705D42}"/>
    <cellStyle name="20% - Accent2 3" xfId="67" xr:uid="{00000000-0005-0000-0000-000052000000}"/>
    <cellStyle name="20% - Accent2 3 10" xfId="4199" xr:uid="{B6532F02-3D80-4920-857F-AD67EA5F81CD}"/>
    <cellStyle name="20% - Accent2 3 11" xfId="8375" xr:uid="{0C0AA666-B1FC-4CC2-B011-B0125A0C2A32}"/>
    <cellStyle name="20% - Accent2 3 2" xfId="120" xr:uid="{00000000-0005-0000-0000-000053000000}"/>
    <cellStyle name="20% - Accent2 3 2 10" xfId="8428" xr:uid="{ACE28836-D968-4F03-98AA-2D8503EC1C18}"/>
    <cellStyle name="20% - Accent2 3 2 2" xfId="225" xr:uid="{00000000-0005-0000-0000-000054000000}"/>
    <cellStyle name="20% - Accent2 3 2 2 2" xfId="434" xr:uid="{00000000-0005-0000-0000-000055000000}"/>
    <cellStyle name="20% - Accent2 3 2 2 2 2" xfId="851" xr:uid="{00000000-0005-0000-0000-000056000000}"/>
    <cellStyle name="20% - Accent2 3 2 2 2 2 2" xfId="1677" xr:uid="{F7FFEF96-B1C9-4BFB-991F-529CCEE56392}"/>
    <cellStyle name="20% - Accent2 3 2 2 2 2 2 2" xfId="5809" xr:uid="{67BF523B-B1A0-4A82-A6F8-887BA90F2951}"/>
    <cellStyle name="20% - Accent2 3 2 2 2 2 3" xfId="2505" xr:uid="{A49A8E89-A1DF-432F-BBE2-9F52FB73E8DE}"/>
    <cellStyle name="20% - Accent2 3 2 2 2 2 3 2" xfId="6636" xr:uid="{4819BDDF-6EDA-4EE4-9A3C-51831E58CEB1}"/>
    <cellStyle name="20% - Accent2 3 2 2 2 2 4" xfId="3329" xr:uid="{6E89C26E-AB2A-4F9F-AAC2-A6DDDB432852}"/>
    <cellStyle name="20% - Accent2 3 2 2 2 2 4 2" xfId="7460" xr:uid="{C7516F80-EB25-4919-8B07-FFAB03D4EC7D}"/>
    <cellStyle name="20% - Accent2 3 2 2 2 2 5" xfId="4153" xr:uid="{85FAC837-122D-42CA-BC6C-4429F2E537C2}"/>
    <cellStyle name="20% - Accent2 3 2 2 2 2 5 2" xfId="8312" xr:uid="{A95BEDF4-BB34-4250-BFE8-1407B9B7BDCD}"/>
    <cellStyle name="20% - Accent2 3 2 2 2 2 6" xfId="4983" xr:uid="{100E3DEC-A509-4340-BA91-AC2F37950FF8}"/>
    <cellStyle name="20% - Accent2 3 2 2 2 2 7" xfId="9159" xr:uid="{F1794A76-7545-4AC9-B06B-3A21E3C4E2FF}"/>
    <cellStyle name="20% - Accent2 3 2 2 2 3" xfId="1260" xr:uid="{531C8ECD-0C03-4D57-BF87-B38263EBADEB}"/>
    <cellStyle name="20% - Accent2 3 2 2 2 3 2" xfId="5392" xr:uid="{C8D4C821-A0CF-4926-B8AB-D4A8C3CB63DE}"/>
    <cellStyle name="20% - Accent2 3 2 2 2 4" xfId="2088" xr:uid="{8FD67354-031E-417D-A252-C8F9464CFF10}"/>
    <cellStyle name="20% - Accent2 3 2 2 2 4 2" xfId="6219" xr:uid="{3BE980DF-AA7D-4FD9-8128-486236594E43}"/>
    <cellStyle name="20% - Accent2 3 2 2 2 5" xfId="2912" xr:uid="{1C3BFCEB-ECAB-4A7D-A7D4-2A12466B3837}"/>
    <cellStyle name="20% - Accent2 3 2 2 2 5 2" xfId="7043" xr:uid="{65379C78-B497-4324-B115-4F79A787F4B8}"/>
    <cellStyle name="20% - Accent2 3 2 2 2 6" xfId="3736" xr:uid="{5C60D00E-925B-4602-A4D6-1F1DE2454E76}"/>
    <cellStyle name="20% - Accent2 3 2 2 2 6 2" xfId="7895" xr:uid="{362AC78E-ECE3-47A0-9AED-575A60604C5D}"/>
    <cellStyle name="20% - Accent2 3 2 2 2 7" xfId="4566" xr:uid="{4A6FE821-B146-44E0-8C67-9DD0DB571A55}"/>
    <cellStyle name="20% - Accent2 3 2 2 2 8" xfId="8742" xr:uid="{5611957E-F9A1-4174-B126-8C0CE9C237CA}"/>
    <cellStyle name="20% - Accent2 3 2 2 3" xfId="643" xr:uid="{00000000-0005-0000-0000-000057000000}"/>
    <cellStyle name="20% - Accent2 3 2 2 3 2" xfId="1469" xr:uid="{C2B6C918-DC03-46E7-88B8-4739360E8E2A}"/>
    <cellStyle name="20% - Accent2 3 2 2 3 2 2" xfId="5601" xr:uid="{54FD91B3-384F-4117-8180-00C966EB4889}"/>
    <cellStyle name="20% - Accent2 3 2 2 3 3" xfId="2297" xr:uid="{57BBA3FF-F9E1-4165-954A-4B31E59B8F2D}"/>
    <cellStyle name="20% - Accent2 3 2 2 3 3 2" xfId="6428" xr:uid="{94BCBAAE-1BD0-4215-8EA3-ECC9BED0BB9F}"/>
    <cellStyle name="20% - Accent2 3 2 2 3 4" xfId="3121" xr:uid="{C897E2EF-CBC9-4671-B1AC-0AAF591965B7}"/>
    <cellStyle name="20% - Accent2 3 2 2 3 4 2" xfId="7252" xr:uid="{47C71BCA-409E-4D1E-B7A2-83F7861422FB}"/>
    <cellStyle name="20% - Accent2 3 2 2 3 5" xfId="3945" xr:uid="{37E6A794-771C-4C5D-83BB-C31DEA243C69}"/>
    <cellStyle name="20% - Accent2 3 2 2 3 5 2" xfId="8104" xr:uid="{8DAECD6E-2CFB-43B7-AEA2-AD1A651F5B76}"/>
    <cellStyle name="20% - Accent2 3 2 2 3 6" xfId="4775" xr:uid="{D0103C9B-CEDC-48CF-9828-3C755F24E30E}"/>
    <cellStyle name="20% - Accent2 3 2 2 3 7" xfId="8951" xr:uid="{8F647E60-7042-4570-9610-798F3293E9E8}"/>
    <cellStyle name="20% - Accent2 3 2 2 4" xfId="1051" xr:uid="{135FD6C7-7CDC-4689-9A5A-B0C75E716543}"/>
    <cellStyle name="20% - Accent2 3 2 2 4 2" xfId="5183" xr:uid="{FF36EF00-B5AF-4F1A-8AE4-AAF2FDC07224}"/>
    <cellStyle name="20% - Accent2 3 2 2 5" xfId="1879" xr:uid="{E788D18E-6108-4282-A107-EA3C86711976}"/>
    <cellStyle name="20% - Accent2 3 2 2 5 2" xfId="6010" xr:uid="{19025DB4-4386-4C7E-AB68-160F4DDBB4BA}"/>
    <cellStyle name="20% - Accent2 3 2 2 6" xfId="2703" xr:uid="{517FDE9B-EC8E-470E-A36F-5BC4792D87A9}"/>
    <cellStyle name="20% - Accent2 3 2 2 6 2" xfId="6834" xr:uid="{E603921F-5B1C-4F83-A5DE-3FD2259CB78F}"/>
    <cellStyle name="20% - Accent2 3 2 2 7" xfId="3527" xr:uid="{D08F81B2-29EF-454D-B095-09EE156D0F1F}"/>
    <cellStyle name="20% - Accent2 3 2 2 7 2" xfId="7686" xr:uid="{DC233605-2B4F-42AF-9803-0ACF2A3DDA69}"/>
    <cellStyle name="20% - Accent2 3 2 2 8" xfId="4357" xr:uid="{9FD45327-6EC5-4BB6-8C46-E8CCE9FA367F}"/>
    <cellStyle name="20% - Accent2 3 2 2 9" xfId="8533" xr:uid="{EDF461F0-A4D6-4B06-8652-165A8DBD82E7}"/>
    <cellStyle name="20% - Accent2 3 2 3" xfId="330" xr:uid="{00000000-0005-0000-0000-000058000000}"/>
    <cellStyle name="20% - Accent2 3 2 3 2" xfId="747" xr:uid="{00000000-0005-0000-0000-000059000000}"/>
    <cellStyle name="20% - Accent2 3 2 3 2 2" xfId="1573" xr:uid="{AD9DB9B0-24C4-4420-8D06-51438F5AB351}"/>
    <cellStyle name="20% - Accent2 3 2 3 2 2 2" xfId="5705" xr:uid="{0117AAF6-2399-4ED6-A2FE-33BE5EC1A2A2}"/>
    <cellStyle name="20% - Accent2 3 2 3 2 3" xfId="2401" xr:uid="{D46A7A8A-0602-40AC-B2CB-CB6D8C24CEC6}"/>
    <cellStyle name="20% - Accent2 3 2 3 2 3 2" xfId="6532" xr:uid="{4B3CC883-2DFD-4DD1-9626-6ED7A4C5EE16}"/>
    <cellStyle name="20% - Accent2 3 2 3 2 4" xfId="3225" xr:uid="{917460C4-5695-455D-AC50-A22453DD498C}"/>
    <cellStyle name="20% - Accent2 3 2 3 2 4 2" xfId="7356" xr:uid="{0C45BC55-513E-4835-879F-EFC004A81140}"/>
    <cellStyle name="20% - Accent2 3 2 3 2 5" xfId="4049" xr:uid="{FF66C828-08C9-4902-B30C-76F480A3895F}"/>
    <cellStyle name="20% - Accent2 3 2 3 2 5 2" xfId="8208" xr:uid="{25F11D44-8D6C-4AC2-BC8E-39AE4233CF0B}"/>
    <cellStyle name="20% - Accent2 3 2 3 2 6" xfId="4879" xr:uid="{29220EFA-48E3-4C40-BED4-E7E1199CEBF2}"/>
    <cellStyle name="20% - Accent2 3 2 3 2 7" xfId="9055" xr:uid="{F16DFC7C-29E9-41B1-ADB5-1303C9C64D35}"/>
    <cellStyle name="20% - Accent2 3 2 3 3" xfId="1156" xr:uid="{7EAB24A8-351E-4C08-B95E-ABD97FA11C24}"/>
    <cellStyle name="20% - Accent2 3 2 3 3 2" xfId="5288" xr:uid="{5253FB29-4749-4072-9414-5B13F5B580BE}"/>
    <cellStyle name="20% - Accent2 3 2 3 4" xfId="1984" xr:uid="{DEE78DC3-259C-4036-ABD6-2208832FB687}"/>
    <cellStyle name="20% - Accent2 3 2 3 4 2" xfId="6115" xr:uid="{346A303E-251D-44AE-A88E-C683EB657B12}"/>
    <cellStyle name="20% - Accent2 3 2 3 5" xfId="2808" xr:uid="{0E6FD12F-ECFD-4D33-B0AB-4FD719A4C887}"/>
    <cellStyle name="20% - Accent2 3 2 3 5 2" xfId="6939" xr:uid="{49CB67DA-3A55-40E8-9C03-AD4921B7736E}"/>
    <cellStyle name="20% - Accent2 3 2 3 6" xfId="3632" xr:uid="{F6C48E61-E5B3-4242-A206-56462BE84A8D}"/>
    <cellStyle name="20% - Accent2 3 2 3 6 2" xfId="7791" xr:uid="{5F938B52-6EEE-4AF7-9F87-A8E45F037E2B}"/>
    <cellStyle name="20% - Accent2 3 2 3 7" xfId="4462" xr:uid="{4DFF969C-8991-4225-AFB7-C07A0B9860A3}"/>
    <cellStyle name="20% - Accent2 3 2 3 8" xfId="8638" xr:uid="{7C8F28B1-1426-40E7-B6F1-A7EF8151E23F}"/>
    <cellStyle name="20% - Accent2 3 2 4" xfId="539" xr:uid="{00000000-0005-0000-0000-00005A000000}"/>
    <cellStyle name="20% - Accent2 3 2 4 2" xfId="1365" xr:uid="{CADEBE3B-E74D-4936-A613-2394681340E3}"/>
    <cellStyle name="20% - Accent2 3 2 4 2 2" xfId="5497" xr:uid="{6E6E503B-2E80-4F0A-B52D-E6CB6F1FEA27}"/>
    <cellStyle name="20% - Accent2 3 2 4 3" xfId="2193" xr:uid="{0D971479-AD6A-48C6-BFCD-1D6CF5028844}"/>
    <cellStyle name="20% - Accent2 3 2 4 3 2" xfId="6324" xr:uid="{66ECB63C-C7B9-4A82-A39D-A131D8657056}"/>
    <cellStyle name="20% - Accent2 3 2 4 4" xfId="3017" xr:uid="{E89EF988-30EE-4A34-90E3-43CEFE7FC832}"/>
    <cellStyle name="20% - Accent2 3 2 4 4 2" xfId="7148" xr:uid="{0746175F-F517-4512-91DA-6E5B1BC9BB6E}"/>
    <cellStyle name="20% - Accent2 3 2 4 5" xfId="3841" xr:uid="{FE03C218-01F6-4419-9969-6FED98EE4AB6}"/>
    <cellStyle name="20% - Accent2 3 2 4 5 2" xfId="8000" xr:uid="{9AB421DE-3A5C-43B2-AB7D-6E746F17C0D7}"/>
    <cellStyle name="20% - Accent2 3 2 4 6" xfId="4671" xr:uid="{F47E1018-076C-40CC-8BB1-38FDF201CA6D}"/>
    <cellStyle name="20% - Accent2 3 2 4 7" xfId="8847" xr:uid="{B4735AB9-C8D3-46AC-A537-61193EBF66C4}"/>
    <cellStyle name="20% - Accent2 3 2 5" xfId="946" xr:uid="{D9B6350E-D231-44BE-A1FB-B5649E0B002B}"/>
    <cellStyle name="20% - Accent2 3 2 5 2" xfId="5078" xr:uid="{43A98F28-4088-4165-A679-1A04D8510916}"/>
    <cellStyle name="20% - Accent2 3 2 6" xfId="1774" xr:uid="{8839A34A-BD0C-4B72-86F4-E306B461EC5F}"/>
    <cellStyle name="20% - Accent2 3 2 6 2" xfId="5905" xr:uid="{5AFD4669-67AD-44A4-A707-E383B11D03A1}"/>
    <cellStyle name="20% - Accent2 3 2 7" xfId="2598" xr:uid="{0BEEB506-941A-444A-8AA9-F5C2AB727534}"/>
    <cellStyle name="20% - Accent2 3 2 7 2" xfId="6729" xr:uid="{FC51402C-29C1-4B42-BA68-E42C8686ADAD}"/>
    <cellStyle name="20% - Accent2 3 2 8" xfId="3422" xr:uid="{1BAF45DA-704B-4F58-B275-787E0141666A}"/>
    <cellStyle name="20% - Accent2 3 2 8 2" xfId="7581" xr:uid="{6F7C3856-ED62-4E3B-9892-7D6FA3CC1121}"/>
    <cellStyle name="20% - Accent2 3 2 9" xfId="4252" xr:uid="{52D2CAA9-A18D-478C-8A38-DA2ED805D252}"/>
    <cellStyle name="20% - Accent2 3 3" xfId="173" xr:uid="{00000000-0005-0000-0000-00005B000000}"/>
    <cellStyle name="20% - Accent2 3 3 2" xfId="382" xr:uid="{00000000-0005-0000-0000-00005C000000}"/>
    <cellStyle name="20% - Accent2 3 3 2 2" xfId="799" xr:uid="{00000000-0005-0000-0000-00005D000000}"/>
    <cellStyle name="20% - Accent2 3 3 2 2 2" xfId="1625" xr:uid="{C0472EE0-70BD-4F41-BB96-F9BCF1983A5B}"/>
    <cellStyle name="20% - Accent2 3 3 2 2 2 2" xfId="5757" xr:uid="{5EDEEE4D-5975-431A-A02C-B9BD8D446E2D}"/>
    <cellStyle name="20% - Accent2 3 3 2 2 3" xfId="2453" xr:uid="{02D5291A-9EAF-45B8-98BD-0469A71C853E}"/>
    <cellStyle name="20% - Accent2 3 3 2 2 3 2" xfId="6584" xr:uid="{2746F679-39F7-4EC1-84A0-1A292FC75C89}"/>
    <cellStyle name="20% - Accent2 3 3 2 2 4" xfId="3277" xr:uid="{93240246-662B-493D-88EC-35EC18101CF2}"/>
    <cellStyle name="20% - Accent2 3 3 2 2 4 2" xfId="7408" xr:uid="{AAC99723-4A58-47D9-84EF-1B63A3505893}"/>
    <cellStyle name="20% - Accent2 3 3 2 2 5" xfId="4101" xr:uid="{37DFCF8F-49DF-4380-9AFF-C6A162426F44}"/>
    <cellStyle name="20% - Accent2 3 3 2 2 5 2" xfId="8260" xr:uid="{0B37AED5-961C-4EAD-A902-1AA5459EAF91}"/>
    <cellStyle name="20% - Accent2 3 3 2 2 6" xfId="4931" xr:uid="{2B8DC3D6-9314-4425-8B38-977E59B587AB}"/>
    <cellStyle name="20% - Accent2 3 3 2 2 7" xfId="9107" xr:uid="{9C2BD3E2-1FE6-41D7-A567-D6B5247531C1}"/>
    <cellStyle name="20% - Accent2 3 3 2 3" xfId="1208" xr:uid="{29544EC2-FDD5-4101-AE97-FA25C0E2ADDF}"/>
    <cellStyle name="20% - Accent2 3 3 2 3 2" xfId="5340" xr:uid="{D1364F84-9CEE-4BD2-97B9-500A6578933A}"/>
    <cellStyle name="20% - Accent2 3 3 2 4" xfId="2036" xr:uid="{081FAECD-CC9D-4F68-9A1F-040CF36D06BB}"/>
    <cellStyle name="20% - Accent2 3 3 2 4 2" xfId="6167" xr:uid="{E1053FC9-7473-4FA1-B107-7F3A80F97950}"/>
    <cellStyle name="20% - Accent2 3 3 2 5" xfId="2860" xr:uid="{83BB535E-1952-4F09-A895-F5DA611F4402}"/>
    <cellStyle name="20% - Accent2 3 3 2 5 2" xfId="6991" xr:uid="{6DC16E9D-D7E7-46F7-AB8E-3364E4CD1230}"/>
    <cellStyle name="20% - Accent2 3 3 2 6" xfId="3684" xr:uid="{6515C32C-22E1-44FD-8E60-4A998F471FC9}"/>
    <cellStyle name="20% - Accent2 3 3 2 6 2" xfId="7843" xr:uid="{A4828422-ECA7-432B-88D0-44F116FC2A5C}"/>
    <cellStyle name="20% - Accent2 3 3 2 7" xfId="4514" xr:uid="{42AA6734-9845-4480-94BC-BA49A8B87FCC}"/>
    <cellStyle name="20% - Accent2 3 3 2 8" xfId="8690" xr:uid="{38D525F5-4428-436E-B52B-9B59F8526153}"/>
    <cellStyle name="20% - Accent2 3 3 3" xfId="591" xr:uid="{00000000-0005-0000-0000-00005E000000}"/>
    <cellStyle name="20% - Accent2 3 3 3 2" xfId="1417" xr:uid="{96C63E76-4AFD-4396-82AD-3DF0A146D225}"/>
    <cellStyle name="20% - Accent2 3 3 3 2 2" xfId="5549" xr:uid="{BCF2B574-A1AB-4602-98F7-4AE0C02E9BAA}"/>
    <cellStyle name="20% - Accent2 3 3 3 3" xfId="2245" xr:uid="{2EC02DE4-6EA9-465B-B3BC-6B97AEBB662E}"/>
    <cellStyle name="20% - Accent2 3 3 3 3 2" xfId="6376" xr:uid="{7CD016B1-AAF7-4E6B-957A-ED59F332CA94}"/>
    <cellStyle name="20% - Accent2 3 3 3 4" xfId="3069" xr:uid="{F6CDC7E3-F889-45E3-B228-A4D4948616E6}"/>
    <cellStyle name="20% - Accent2 3 3 3 4 2" xfId="7200" xr:uid="{84F974C0-5D7C-4A52-85D1-26F184A46D1E}"/>
    <cellStyle name="20% - Accent2 3 3 3 5" xfId="3893" xr:uid="{D73A1894-FA56-44FD-B7E5-EF70516EE9BA}"/>
    <cellStyle name="20% - Accent2 3 3 3 5 2" xfId="8052" xr:uid="{9045EB80-DE0A-44A7-8A4A-371904CA4371}"/>
    <cellStyle name="20% - Accent2 3 3 3 6" xfId="4723" xr:uid="{3733A45F-F5E7-4386-A22E-6BA4BE88811D}"/>
    <cellStyle name="20% - Accent2 3 3 3 7" xfId="8899" xr:uid="{9F9A22CB-D9C1-4FB0-A1F7-AA62E9FDBEFC}"/>
    <cellStyle name="20% - Accent2 3 3 4" xfId="999" xr:uid="{E787BFBA-96F4-45E0-A7E8-7E3A1E674C54}"/>
    <cellStyle name="20% - Accent2 3 3 4 2" xfId="5131" xr:uid="{CF746283-C154-48CF-9339-2FA48C3E1EA2}"/>
    <cellStyle name="20% - Accent2 3 3 5" xfId="1827" xr:uid="{6A9E279F-B472-4352-AFAD-B502B96C298C}"/>
    <cellStyle name="20% - Accent2 3 3 5 2" xfId="5958" xr:uid="{16E6DF2B-ACE3-48DF-AEF9-82E27F1F61D4}"/>
    <cellStyle name="20% - Accent2 3 3 6" xfId="2651" xr:uid="{859A4F31-C4A1-4864-85A2-24B13EB4AE69}"/>
    <cellStyle name="20% - Accent2 3 3 6 2" xfId="6782" xr:uid="{6802C498-EF16-4CA8-A19C-05B2EA874726}"/>
    <cellStyle name="20% - Accent2 3 3 7" xfId="3475" xr:uid="{08B59424-4943-4621-AA7C-1D9F76CE2021}"/>
    <cellStyle name="20% - Accent2 3 3 7 2" xfId="7634" xr:uid="{C71594A0-56FB-4007-9FD3-D281249C4C3E}"/>
    <cellStyle name="20% - Accent2 3 3 8" xfId="4305" xr:uid="{D6AB8182-F589-4F98-AC43-FCAA9F924894}"/>
    <cellStyle name="20% - Accent2 3 3 9" xfId="8481" xr:uid="{D3C14D3B-2347-4F57-B40E-3628FBCF8F19}"/>
    <cellStyle name="20% - Accent2 3 4" xfId="278" xr:uid="{00000000-0005-0000-0000-00005F000000}"/>
    <cellStyle name="20% - Accent2 3 4 2" xfId="695" xr:uid="{00000000-0005-0000-0000-000060000000}"/>
    <cellStyle name="20% - Accent2 3 4 2 2" xfId="1521" xr:uid="{EDD78DD6-185B-4D71-B8DC-0256933CFAD7}"/>
    <cellStyle name="20% - Accent2 3 4 2 2 2" xfId="5653" xr:uid="{D6D68BA9-FB0D-40DF-9FB8-45621A344F8D}"/>
    <cellStyle name="20% - Accent2 3 4 2 3" xfId="2349" xr:uid="{1EB73D16-61A6-4EA9-A27F-E1A425818224}"/>
    <cellStyle name="20% - Accent2 3 4 2 3 2" xfId="6480" xr:uid="{883B1D05-70A4-4E81-9517-4A764BDB9E76}"/>
    <cellStyle name="20% - Accent2 3 4 2 4" xfId="3173" xr:uid="{FAE4B353-8BDE-4A3A-9099-66D22E80097B}"/>
    <cellStyle name="20% - Accent2 3 4 2 4 2" xfId="7304" xr:uid="{FF42579C-7047-43A6-B728-CEFEB64D7D54}"/>
    <cellStyle name="20% - Accent2 3 4 2 5" xfId="3997" xr:uid="{8D2F51C2-ED27-446A-9C96-01921E7F8AA1}"/>
    <cellStyle name="20% - Accent2 3 4 2 5 2" xfId="8156" xr:uid="{B909B938-AC8C-416B-9A84-27DB1D8BD8B5}"/>
    <cellStyle name="20% - Accent2 3 4 2 6" xfId="4827" xr:uid="{811FDDB7-BA19-4268-ABE0-1CFB3EF80C31}"/>
    <cellStyle name="20% - Accent2 3 4 2 7" xfId="9003" xr:uid="{684CC937-2043-4EDE-821E-61102E3AFF78}"/>
    <cellStyle name="20% - Accent2 3 4 3" xfId="1104" xr:uid="{C9703F28-5304-4E52-8B81-486FAF894D5F}"/>
    <cellStyle name="20% - Accent2 3 4 3 2" xfId="5236" xr:uid="{0B8DCA9C-B201-4B5A-A0C1-4A74A604C2B5}"/>
    <cellStyle name="20% - Accent2 3 4 4" xfId="1932" xr:uid="{2331E919-ED3A-4103-B40B-A8AE1D142364}"/>
    <cellStyle name="20% - Accent2 3 4 4 2" xfId="6063" xr:uid="{37C2DDD4-8C31-4D5D-88E5-57CDB0C95116}"/>
    <cellStyle name="20% - Accent2 3 4 5" xfId="2756" xr:uid="{EDE6A49C-4EAE-4A84-8390-BB3CD0E8C34C}"/>
    <cellStyle name="20% - Accent2 3 4 5 2" xfId="6887" xr:uid="{6E1AC68E-6D38-496E-BE51-32B72A1B07C8}"/>
    <cellStyle name="20% - Accent2 3 4 6" xfId="3580" xr:uid="{F50476CF-213F-4AE1-BBA1-8FA723470998}"/>
    <cellStyle name="20% - Accent2 3 4 6 2" xfId="7739" xr:uid="{A51F487E-2979-4C1A-8D18-69139E04CBF3}"/>
    <cellStyle name="20% - Accent2 3 4 7" xfId="4410" xr:uid="{6A3D05E9-7F68-43EB-911F-8E39E91683D5}"/>
    <cellStyle name="20% - Accent2 3 4 8" xfId="8586" xr:uid="{6C4AF848-6048-4D2F-B124-6392FFA922AA}"/>
    <cellStyle name="20% - Accent2 3 5" xfId="487" xr:uid="{00000000-0005-0000-0000-000061000000}"/>
    <cellStyle name="20% - Accent2 3 5 2" xfId="1313" xr:uid="{E61881AD-85DC-4F1F-B307-CAC12CF79092}"/>
    <cellStyle name="20% - Accent2 3 5 2 2" xfId="5445" xr:uid="{9652A75A-41E2-41F2-B7ED-A64E0C2A641D}"/>
    <cellStyle name="20% - Accent2 3 5 3" xfId="2141" xr:uid="{7316C42A-ECE4-4948-824D-617FE887868E}"/>
    <cellStyle name="20% - Accent2 3 5 3 2" xfId="6272" xr:uid="{5549DE41-7E9D-425C-855B-88BFDA7E6E9E}"/>
    <cellStyle name="20% - Accent2 3 5 4" xfId="2965" xr:uid="{1CF1D035-178D-48E9-ACB3-CED2F3E7A354}"/>
    <cellStyle name="20% - Accent2 3 5 4 2" xfId="7096" xr:uid="{B0694BA0-BEFB-4A09-A5F5-F02C6C0F4486}"/>
    <cellStyle name="20% - Accent2 3 5 5" xfId="3789" xr:uid="{E7D1A8DC-5344-4CA3-BD68-4214D042E040}"/>
    <cellStyle name="20% - Accent2 3 5 5 2" xfId="7948" xr:uid="{74942202-6CAB-41D3-83E3-5992300D235E}"/>
    <cellStyle name="20% - Accent2 3 5 6" xfId="4619" xr:uid="{F195C15C-A80A-4B62-AB5A-9C59D765CE27}"/>
    <cellStyle name="20% - Accent2 3 5 7" xfId="8795" xr:uid="{552D1FC2-C5BB-4C1F-9068-D2CF9E81B4CA}"/>
    <cellStyle name="20% - Accent2 3 6" xfId="893" xr:uid="{1A43D978-0E76-44E9-B3A0-AFFBE507CBB4}"/>
    <cellStyle name="20% - Accent2 3 6 2" xfId="5025" xr:uid="{69C0B485-D244-4E86-B946-AA44E013613C}"/>
    <cellStyle name="20% - Accent2 3 7" xfId="1721" xr:uid="{D8F54D7B-9671-4089-A028-21A52A218FE8}"/>
    <cellStyle name="20% - Accent2 3 7 2" xfId="5852" xr:uid="{CD71C48E-1729-4EFF-AEB9-E4DABD3BE480}"/>
    <cellStyle name="20% - Accent2 3 8" xfId="2545" xr:uid="{4E1C3542-DAEC-4C96-8AD9-5202107990F6}"/>
    <cellStyle name="20% - Accent2 3 8 2" xfId="6676" xr:uid="{C9D31F20-EC3D-4A91-B9B0-6EFF8E889487}"/>
    <cellStyle name="20% - Accent2 3 9" xfId="3369" xr:uid="{7EFD202C-2069-4E4C-99EF-EEB3035363FD}"/>
    <cellStyle name="20% - Accent2 3 9 2" xfId="7528" xr:uid="{0FCCA328-7F92-45A2-9FF1-1A9824933ACA}"/>
    <cellStyle name="20% - Accent2 4" xfId="80" xr:uid="{00000000-0005-0000-0000-000062000000}"/>
    <cellStyle name="20% - Accent2 4 10" xfId="8388" xr:uid="{D33B5602-3788-4D0D-B1D2-A105EB8AEF27}"/>
    <cellStyle name="20% - Accent2 4 2" xfId="186" xr:uid="{00000000-0005-0000-0000-000063000000}"/>
    <cellStyle name="20% - Accent2 4 2 2" xfId="395" xr:uid="{00000000-0005-0000-0000-000064000000}"/>
    <cellStyle name="20% - Accent2 4 2 2 2" xfId="812" xr:uid="{00000000-0005-0000-0000-000065000000}"/>
    <cellStyle name="20% - Accent2 4 2 2 2 2" xfId="1638" xr:uid="{A1D16541-A2EB-43D2-935E-EA9253BB8291}"/>
    <cellStyle name="20% - Accent2 4 2 2 2 2 2" xfId="5770" xr:uid="{206A59D2-8BF7-454E-9246-30237530AC4E}"/>
    <cellStyle name="20% - Accent2 4 2 2 2 3" xfId="2466" xr:uid="{7ACEEF19-9558-40EE-B694-5EE6D981DC49}"/>
    <cellStyle name="20% - Accent2 4 2 2 2 3 2" xfId="6597" xr:uid="{BAF7A61D-0FB1-4293-A43A-440636F41D08}"/>
    <cellStyle name="20% - Accent2 4 2 2 2 4" xfId="3290" xr:uid="{6A437094-3D96-4F20-8248-1920E90E5FA6}"/>
    <cellStyle name="20% - Accent2 4 2 2 2 4 2" xfId="7421" xr:uid="{77E6E75D-6D6D-4B39-A0E0-3711E8047BE6}"/>
    <cellStyle name="20% - Accent2 4 2 2 2 5" xfId="4114" xr:uid="{D6500575-CD1B-4E3A-A997-93FECD907871}"/>
    <cellStyle name="20% - Accent2 4 2 2 2 5 2" xfId="8273" xr:uid="{E567ED0D-0372-475E-AC8B-7A565DD2C99F}"/>
    <cellStyle name="20% - Accent2 4 2 2 2 6" xfId="4944" xr:uid="{3D3926A8-F0A5-44D6-B368-4244145BDB51}"/>
    <cellStyle name="20% - Accent2 4 2 2 2 7" xfId="9120" xr:uid="{4BC82727-64C4-4BCA-B5D9-C2D691A234CA}"/>
    <cellStyle name="20% - Accent2 4 2 2 3" xfId="1221" xr:uid="{02817040-765C-4082-B763-EA04AAE01CA0}"/>
    <cellStyle name="20% - Accent2 4 2 2 3 2" xfId="5353" xr:uid="{09A393C1-3E0F-4623-9438-2994F0327C48}"/>
    <cellStyle name="20% - Accent2 4 2 2 4" xfId="2049" xr:uid="{E8CF2674-535D-4A6C-BE9B-5768D2EB6AF7}"/>
    <cellStyle name="20% - Accent2 4 2 2 4 2" xfId="6180" xr:uid="{EE91199C-1CF4-45B5-B2C8-695B9FA84DCD}"/>
    <cellStyle name="20% - Accent2 4 2 2 5" xfId="2873" xr:uid="{B6904F37-D733-4057-AFC1-80416026771B}"/>
    <cellStyle name="20% - Accent2 4 2 2 5 2" xfId="7004" xr:uid="{0DEC0A0C-4FBC-4022-B451-B341D7652910}"/>
    <cellStyle name="20% - Accent2 4 2 2 6" xfId="3697" xr:uid="{1CCDDBE3-CA98-439F-A532-514628E8ED75}"/>
    <cellStyle name="20% - Accent2 4 2 2 6 2" xfId="7856" xr:uid="{D8D85F3C-6FD7-4A82-A9D5-1D2B1587B590}"/>
    <cellStyle name="20% - Accent2 4 2 2 7" xfId="4527" xr:uid="{2C477B9E-F7E5-47B3-89B0-B4CCB75CC5A3}"/>
    <cellStyle name="20% - Accent2 4 2 2 8" xfId="8703" xr:uid="{243D57D7-7AE4-4F3E-8883-04DAEF018C27}"/>
    <cellStyle name="20% - Accent2 4 2 3" xfId="604" xr:uid="{00000000-0005-0000-0000-000066000000}"/>
    <cellStyle name="20% - Accent2 4 2 3 2" xfId="1430" xr:uid="{509D6DE0-711F-493B-95FB-3172173E912F}"/>
    <cellStyle name="20% - Accent2 4 2 3 2 2" xfId="5562" xr:uid="{874C3961-78EC-404D-B182-3AD1DA392C1D}"/>
    <cellStyle name="20% - Accent2 4 2 3 3" xfId="2258" xr:uid="{F2A1D975-E5A0-4155-A240-232EFEE798C2}"/>
    <cellStyle name="20% - Accent2 4 2 3 3 2" xfId="6389" xr:uid="{D9BB3C11-0863-4026-BFDB-C6192682C1BF}"/>
    <cellStyle name="20% - Accent2 4 2 3 4" xfId="3082" xr:uid="{BB2737DC-3224-403A-95AF-34BD04F01E70}"/>
    <cellStyle name="20% - Accent2 4 2 3 4 2" xfId="7213" xr:uid="{0AE2CB51-3D42-446D-858E-524ED7C00C36}"/>
    <cellStyle name="20% - Accent2 4 2 3 5" xfId="3906" xr:uid="{46CE82F2-F045-403D-99C9-12DFE22F1D8B}"/>
    <cellStyle name="20% - Accent2 4 2 3 5 2" xfId="8065" xr:uid="{4CA7D2FF-BE43-4006-B854-FB1DFF3C39EB}"/>
    <cellStyle name="20% - Accent2 4 2 3 6" xfId="4736" xr:uid="{D27F9D47-5E5D-4155-A121-B72F7A887951}"/>
    <cellStyle name="20% - Accent2 4 2 3 7" xfId="8912" xr:uid="{E0FA11B0-E8F8-43D8-828A-48753DD13A11}"/>
    <cellStyle name="20% - Accent2 4 2 4" xfId="1012" xr:uid="{F558AF6F-F5D7-4FD1-AE9C-247A822EA7D1}"/>
    <cellStyle name="20% - Accent2 4 2 4 2" xfId="5144" xr:uid="{FD09279D-CAC7-4491-99FE-52CCB923C07A}"/>
    <cellStyle name="20% - Accent2 4 2 5" xfId="1840" xr:uid="{852FD3DF-E17E-48A0-A53E-BE0AA7E8D304}"/>
    <cellStyle name="20% - Accent2 4 2 5 2" xfId="5971" xr:uid="{05C646AD-CF65-48FD-8A2D-D1BD7E380CCE}"/>
    <cellStyle name="20% - Accent2 4 2 6" xfId="2664" xr:uid="{2C12B39C-09D2-4795-B570-E941E27264F7}"/>
    <cellStyle name="20% - Accent2 4 2 6 2" xfId="6795" xr:uid="{2CA7F49F-D6D6-464F-8889-C5AC745AF040}"/>
    <cellStyle name="20% - Accent2 4 2 7" xfId="3488" xr:uid="{EA5613A4-77DE-4E25-8DFD-4A34EAA80E6B}"/>
    <cellStyle name="20% - Accent2 4 2 7 2" xfId="7647" xr:uid="{15D2E75D-9181-4347-8E84-111CBC54C819}"/>
    <cellStyle name="20% - Accent2 4 2 8" xfId="4318" xr:uid="{FF4F032D-0A50-424C-8EE7-5D2AE0C4FA15}"/>
    <cellStyle name="20% - Accent2 4 2 9" xfId="8494" xr:uid="{1F499B88-7170-4A2F-AF03-CAA8D055D59D}"/>
    <cellStyle name="20% - Accent2 4 3" xfId="291" xr:uid="{00000000-0005-0000-0000-000067000000}"/>
    <cellStyle name="20% - Accent2 4 3 2" xfId="708" xr:uid="{00000000-0005-0000-0000-000068000000}"/>
    <cellStyle name="20% - Accent2 4 3 2 2" xfId="1534" xr:uid="{811BCDD0-78FD-4817-A345-BE89AE6AF235}"/>
    <cellStyle name="20% - Accent2 4 3 2 2 2" xfId="5666" xr:uid="{148CDB55-B60B-4F93-8894-462F83B79E04}"/>
    <cellStyle name="20% - Accent2 4 3 2 3" xfId="2362" xr:uid="{9908E07F-839F-419D-ABAE-6999B052758E}"/>
    <cellStyle name="20% - Accent2 4 3 2 3 2" xfId="6493" xr:uid="{3C0D8187-B750-4291-8436-0F08F1BCCEAE}"/>
    <cellStyle name="20% - Accent2 4 3 2 4" xfId="3186" xr:uid="{2D4450DC-B72A-481E-98E2-8C5706A1E9CF}"/>
    <cellStyle name="20% - Accent2 4 3 2 4 2" xfId="7317" xr:uid="{B1C6E743-8200-459D-A181-61ECBCB943DB}"/>
    <cellStyle name="20% - Accent2 4 3 2 5" xfId="4010" xr:uid="{18642B47-9B73-467C-A0D8-34D3768A55BB}"/>
    <cellStyle name="20% - Accent2 4 3 2 5 2" xfId="8169" xr:uid="{42FF1323-349E-498E-8229-613C84962BBF}"/>
    <cellStyle name="20% - Accent2 4 3 2 6" xfId="4840" xr:uid="{A3EB57E3-D848-4E23-87FE-964CB2298691}"/>
    <cellStyle name="20% - Accent2 4 3 2 7" xfId="9016" xr:uid="{33A91480-D7E4-4629-98AF-29FD07E63BF4}"/>
    <cellStyle name="20% - Accent2 4 3 3" xfId="1117" xr:uid="{32EDB80D-8066-4FCE-B241-03B78EBA0637}"/>
    <cellStyle name="20% - Accent2 4 3 3 2" xfId="5249" xr:uid="{04AC2839-64D0-4CFF-9CA1-4E091240EFBF}"/>
    <cellStyle name="20% - Accent2 4 3 4" xfId="1945" xr:uid="{543A252C-4671-4FCE-915B-182904B17F27}"/>
    <cellStyle name="20% - Accent2 4 3 4 2" xfId="6076" xr:uid="{C7302E72-9DD1-4273-A90E-1A2194DD9EB7}"/>
    <cellStyle name="20% - Accent2 4 3 5" xfId="2769" xr:uid="{ADED0F4C-21F3-448B-BE85-849390400063}"/>
    <cellStyle name="20% - Accent2 4 3 5 2" xfId="6900" xr:uid="{600322A1-FCBD-4582-8321-0DE059DFD8CA}"/>
    <cellStyle name="20% - Accent2 4 3 6" xfId="3593" xr:uid="{8564A4C2-446A-4058-B001-14A9BC2E94BC}"/>
    <cellStyle name="20% - Accent2 4 3 6 2" xfId="7752" xr:uid="{B17F9CC4-544B-4CA6-BB41-589F4E61F715}"/>
    <cellStyle name="20% - Accent2 4 3 7" xfId="4423" xr:uid="{9B80E033-7870-4639-ABED-31B0014F735E}"/>
    <cellStyle name="20% - Accent2 4 3 8" xfId="8599" xr:uid="{23703058-41CD-4D72-AE40-579FFBE5C7D3}"/>
    <cellStyle name="20% - Accent2 4 4" xfId="500" xr:uid="{00000000-0005-0000-0000-000069000000}"/>
    <cellStyle name="20% - Accent2 4 4 2" xfId="1326" xr:uid="{BE188BA1-B0CA-4A25-BC5E-D447A049679A}"/>
    <cellStyle name="20% - Accent2 4 4 2 2" xfId="5458" xr:uid="{263E5D58-B044-4C0D-8E69-1693CD86F521}"/>
    <cellStyle name="20% - Accent2 4 4 3" xfId="2154" xr:uid="{30E5F566-2270-4EB6-A688-57CEFB7536AC}"/>
    <cellStyle name="20% - Accent2 4 4 3 2" xfId="6285" xr:uid="{BCD34A47-067F-495B-8304-B833352D464F}"/>
    <cellStyle name="20% - Accent2 4 4 4" xfId="2978" xr:uid="{5EE1537F-4FBB-4B90-8F91-9201AF2765BC}"/>
    <cellStyle name="20% - Accent2 4 4 4 2" xfId="7109" xr:uid="{F7C95530-E689-458E-8ABE-71CAC6F66A7A}"/>
    <cellStyle name="20% - Accent2 4 4 5" xfId="3802" xr:uid="{F86146D7-F9A1-449C-AF83-12C9231F6D2B}"/>
    <cellStyle name="20% - Accent2 4 4 5 2" xfId="7961" xr:uid="{094FEF89-1A09-44C6-9DEF-2FBE3D9241B7}"/>
    <cellStyle name="20% - Accent2 4 4 6" xfId="4632" xr:uid="{A030B9F7-60EC-4FA9-AD99-2EE7322FE058}"/>
    <cellStyle name="20% - Accent2 4 4 7" xfId="8808" xr:uid="{6BB3CED6-7C96-48A4-B91B-02257C62DBCA}"/>
    <cellStyle name="20% - Accent2 4 5" xfId="906" xr:uid="{8E84FAF3-C2C2-4154-994D-B2D7EB62318E}"/>
    <cellStyle name="20% - Accent2 4 5 2" xfId="5038" xr:uid="{D635CB0C-2357-46C6-8B49-547FA1326219}"/>
    <cellStyle name="20% - Accent2 4 6" xfId="1734" xr:uid="{F809ACD5-957B-46A1-A4F7-D624C8B862FD}"/>
    <cellStyle name="20% - Accent2 4 6 2" xfId="5865" xr:uid="{B423CEEE-7C9C-4274-92E5-C7BBAAA89974}"/>
    <cellStyle name="20% - Accent2 4 7" xfId="2558" xr:uid="{4B02B8FB-1E5D-4B22-9888-B76E449F7ACD}"/>
    <cellStyle name="20% - Accent2 4 7 2" xfId="6689" xr:uid="{4C7BDC09-8844-4F05-BD3D-34E409B63860}"/>
    <cellStyle name="20% - Accent2 4 8" xfId="3382" xr:uid="{BAC26D4F-3428-4E52-AFE3-66D38CAE6F45}"/>
    <cellStyle name="20% - Accent2 4 8 2" xfId="7541" xr:uid="{A86A44D0-B499-4890-B80C-D4FB1A8145D3}"/>
    <cellStyle name="20% - Accent2 4 9" xfId="4212" xr:uid="{4D57D7C6-C07F-4C6D-8260-F16B79D734F3}"/>
    <cellStyle name="20% - Accent2 5" xfId="93" xr:uid="{00000000-0005-0000-0000-00006A000000}"/>
    <cellStyle name="20% - Accent2 5 10" xfId="8401" xr:uid="{C3468A9B-EC7E-409A-98E6-3010D0240648}"/>
    <cellStyle name="20% - Accent2 5 2" xfId="198" xr:uid="{00000000-0005-0000-0000-00006B000000}"/>
    <cellStyle name="20% - Accent2 5 2 2" xfId="407" xr:uid="{00000000-0005-0000-0000-00006C000000}"/>
    <cellStyle name="20% - Accent2 5 2 2 2" xfId="824" xr:uid="{00000000-0005-0000-0000-00006D000000}"/>
    <cellStyle name="20% - Accent2 5 2 2 2 2" xfId="1650" xr:uid="{7A493A4E-8A31-4539-83E3-5349C12E5524}"/>
    <cellStyle name="20% - Accent2 5 2 2 2 2 2" xfId="5782" xr:uid="{4CD819CF-72E0-4E74-991B-D14158DB43C4}"/>
    <cellStyle name="20% - Accent2 5 2 2 2 3" xfId="2478" xr:uid="{43CA37A7-3549-4E28-90B7-D4D227DE7E7C}"/>
    <cellStyle name="20% - Accent2 5 2 2 2 3 2" xfId="6609" xr:uid="{92C894DE-0BBD-4BEF-A872-41F3810D9B5E}"/>
    <cellStyle name="20% - Accent2 5 2 2 2 4" xfId="3302" xr:uid="{1F298EA8-35D7-4A7A-8EFB-12F55423BD70}"/>
    <cellStyle name="20% - Accent2 5 2 2 2 4 2" xfId="7433" xr:uid="{41E4D1F8-6F3B-44E7-916B-BDCC8B7F83E6}"/>
    <cellStyle name="20% - Accent2 5 2 2 2 5" xfId="4126" xr:uid="{85E3B0A8-836E-4AFE-BE78-275D92B4A0C9}"/>
    <cellStyle name="20% - Accent2 5 2 2 2 5 2" xfId="8285" xr:uid="{E9BBC92C-EFC0-4B6D-8BCC-706E9726A166}"/>
    <cellStyle name="20% - Accent2 5 2 2 2 6" xfId="4956" xr:uid="{6C46C42C-9DC1-45BD-BA21-3EEA5E4BB152}"/>
    <cellStyle name="20% - Accent2 5 2 2 2 7" xfId="9132" xr:uid="{62C770E8-6D93-4357-AF29-0FB417A0255A}"/>
    <cellStyle name="20% - Accent2 5 2 2 3" xfId="1233" xr:uid="{540541AA-A67C-4435-850E-760255D8F63C}"/>
    <cellStyle name="20% - Accent2 5 2 2 3 2" xfId="5365" xr:uid="{0930360C-BBDD-4370-AC35-800A3ACC6A61}"/>
    <cellStyle name="20% - Accent2 5 2 2 4" xfId="2061" xr:uid="{1D004DAE-0BE3-4AC8-B60F-2315D8952322}"/>
    <cellStyle name="20% - Accent2 5 2 2 4 2" xfId="6192" xr:uid="{D1D03DFD-FE38-4B2C-8BA9-F6E3C53010F7}"/>
    <cellStyle name="20% - Accent2 5 2 2 5" xfId="2885" xr:uid="{887CB91A-78C2-4A96-A993-AF87ADEE9CDC}"/>
    <cellStyle name="20% - Accent2 5 2 2 5 2" xfId="7016" xr:uid="{C6B155AD-4ECE-4B4B-9D69-BA5186B43927}"/>
    <cellStyle name="20% - Accent2 5 2 2 6" xfId="3709" xr:uid="{7E86D716-FD3B-48BE-BAA2-3CDF48AA7479}"/>
    <cellStyle name="20% - Accent2 5 2 2 6 2" xfId="7868" xr:uid="{DB47BC17-A7B4-4EC9-9267-A0D6FEFFB2D7}"/>
    <cellStyle name="20% - Accent2 5 2 2 7" xfId="4539" xr:uid="{0B134879-A43E-447B-A1DB-A13A04499B66}"/>
    <cellStyle name="20% - Accent2 5 2 2 8" xfId="8715" xr:uid="{69195C10-26CA-4FB5-BF71-19B06E6BF10C}"/>
    <cellStyle name="20% - Accent2 5 2 3" xfId="616" xr:uid="{00000000-0005-0000-0000-00006E000000}"/>
    <cellStyle name="20% - Accent2 5 2 3 2" xfId="1442" xr:uid="{E0793FA9-8184-4EED-96FA-075785C88E6A}"/>
    <cellStyle name="20% - Accent2 5 2 3 2 2" xfId="5574" xr:uid="{CB99EF4F-E3E5-4EBE-AFCC-F5E2EB8F8230}"/>
    <cellStyle name="20% - Accent2 5 2 3 3" xfId="2270" xr:uid="{77F2D69E-3D04-4C95-B2A4-EEDA4A2E081D}"/>
    <cellStyle name="20% - Accent2 5 2 3 3 2" xfId="6401" xr:uid="{178D5CBE-F28A-446F-90EA-F7C0AB7FB0C4}"/>
    <cellStyle name="20% - Accent2 5 2 3 4" xfId="3094" xr:uid="{21DAB366-5366-4433-A494-A1E5CD50A49E}"/>
    <cellStyle name="20% - Accent2 5 2 3 4 2" xfId="7225" xr:uid="{8667F861-10E5-4380-85DD-AFA61D7795ED}"/>
    <cellStyle name="20% - Accent2 5 2 3 5" xfId="3918" xr:uid="{29FD9760-8F52-4444-B452-B966ECB77E09}"/>
    <cellStyle name="20% - Accent2 5 2 3 5 2" xfId="8077" xr:uid="{3FFEF87F-74A8-4C54-97CE-8CDB5C8B8892}"/>
    <cellStyle name="20% - Accent2 5 2 3 6" xfId="4748" xr:uid="{0E77FEE9-0931-4537-B834-C96C771FD998}"/>
    <cellStyle name="20% - Accent2 5 2 3 7" xfId="8924" xr:uid="{D151E99E-38EA-4199-9DCB-BE6528DC7C9B}"/>
    <cellStyle name="20% - Accent2 5 2 4" xfId="1024" xr:uid="{226193EC-D694-4BA0-B3F4-1B1BD4C26772}"/>
    <cellStyle name="20% - Accent2 5 2 4 2" xfId="5156" xr:uid="{392B6DC1-EA20-4DC5-86BC-2742829707FD}"/>
    <cellStyle name="20% - Accent2 5 2 5" xfId="1852" xr:uid="{9942DEBC-060D-4F0D-B327-727C622DC208}"/>
    <cellStyle name="20% - Accent2 5 2 5 2" xfId="5983" xr:uid="{5E13F526-39EB-49A8-ABAD-CB0343268AA9}"/>
    <cellStyle name="20% - Accent2 5 2 6" xfId="2676" xr:uid="{3DE42EBB-7EF3-4C96-9D14-AFCEF48C421B}"/>
    <cellStyle name="20% - Accent2 5 2 6 2" xfId="6807" xr:uid="{283691AC-9F88-491E-AC38-57D4321CFF7A}"/>
    <cellStyle name="20% - Accent2 5 2 7" xfId="3500" xr:uid="{B6D163F2-9A02-498F-A08D-27EF847851E6}"/>
    <cellStyle name="20% - Accent2 5 2 7 2" xfId="7659" xr:uid="{84BFBF18-46C8-405D-8A60-E344440E6800}"/>
    <cellStyle name="20% - Accent2 5 2 8" xfId="4330" xr:uid="{6B711D02-EC1A-4313-B0A1-99DFADD11F32}"/>
    <cellStyle name="20% - Accent2 5 2 9" xfId="8506" xr:uid="{22F51916-1D65-4E27-B0AA-A3B0A25A5A97}"/>
    <cellStyle name="20% - Accent2 5 3" xfId="303" xr:uid="{00000000-0005-0000-0000-00006F000000}"/>
    <cellStyle name="20% - Accent2 5 3 2" xfId="720" xr:uid="{00000000-0005-0000-0000-000070000000}"/>
    <cellStyle name="20% - Accent2 5 3 2 2" xfId="1546" xr:uid="{2F8F5294-68A4-4311-AB68-ECEE4CD3C0B1}"/>
    <cellStyle name="20% - Accent2 5 3 2 2 2" xfId="5678" xr:uid="{75CF77B1-B2D5-4D58-A52B-AADC627F4291}"/>
    <cellStyle name="20% - Accent2 5 3 2 3" xfId="2374" xr:uid="{B2FEAA7C-BD39-4221-B9D5-C4E0633D4CDD}"/>
    <cellStyle name="20% - Accent2 5 3 2 3 2" xfId="6505" xr:uid="{15630BB5-85F0-430B-92A1-E4C7F47838F3}"/>
    <cellStyle name="20% - Accent2 5 3 2 4" xfId="3198" xr:uid="{465CBE2D-F384-4874-9F36-C8A26E75B08B}"/>
    <cellStyle name="20% - Accent2 5 3 2 4 2" xfId="7329" xr:uid="{4072A1C3-F48C-4F4C-947F-2F02D9E3DA9E}"/>
    <cellStyle name="20% - Accent2 5 3 2 5" xfId="4022" xr:uid="{3A82ECF0-A153-4B54-B0B1-A265FCE800BB}"/>
    <cellStyle name="20% - Accent2 5 3 2 5 2" xfId="8181" xr:uid="{B6C52078-CA6D-4ECA-ADE2-711B8C967703}"/>
    <cellStyle name="20% - Accent2 5 3 2 6" xfId="4852" xr:uid="{FFC92D67-E06E-411B-B584-F3D79ADB1CC3}"/>
    <cellStyle name="20% - Accent2 5 3 2 7" xfId="9028" xr:uid="{4CEF9E5A-4718-4714-B223-D0FD96A90D5E}"/>
    <cellStyle name="20% - Accent2 5 3 3" xfId="1129" xr:uid="{0E8ABA71-F26C-44A9-A769-601E7CFEBA2A}"/>
    <cellStyle name="20% - Accent2 5 3 3 2" xfId="5261" xr:uid="{9C8DD3CB-2708-4033-8F04-501E591E4E3B}"/>
    <cellStyle name="20% - Accent2 5 3 4" xfId="1957" xr:uid="{2A58C445-AF27-4FD9-8846-C2A759FFEE1B}"/>
    <cellStyle name="20% - Accent2 5 3 4 2" xfId="6088" xr:uid="{E8A41A65-A12D-40BC-B03F-452B5308C99C}"/>
    <cellStyle name="20% - Accent2 5 3 5" xfId="2781" xr:uid="{903646A0-E4AD-4A98-B2DF-86A721D8D95B}"/>
    <cellStyle name="20% - Accent2 5 3 5 2" xfId="6912" xr:uid="{EACA137D-1C4A-40CF-B902-5ED936913291}"/>
    <cellStyle name="20% - Accent2 5 3 6" xfId="3605" xr:uid="{4EEAF780-7EF1-497B-A05B-514641FDD954}"/>
    <cellStyle name="20% - Accent2 5 3 6 2" xfId="7764" xr:uid="{160DC7D4-84EF-42B0-BD4D-3272EF412019}"/>
    <cellStyle name="20% - Accent2 5 3 7" xfId="4435" xr:uid="{45F2A77B-E584-457D-A53B-5C3CA1AB4767}"/>
    <cellStyle name="20% - Accent2 5 3 8" xfId="8611" xr:uid="{E1A523F4-D364-4F28-9A47-D7AFB68ACA03}"/>
    <cellStyle name="20% - Accent2 5 4" xfId="512" xr:uid="{00000000-0005-0000-0000-000071000000}"/>
    <cellStyle name="20% - Accent2 5 4 2" xfId="1338" xr:uid="{18D7DB07-51F4-46E1-9C91-5D1D0436ED32}"/>
    <cellStyle name="20% - Accent2 5 4 2 2" xfId="5470" xr:uid="{E3181F7B-C232-4C79-AA40-F4C7A766055D}"/>
    <cellStyle name="20% - Accent2 5 4 3" xfId="2166" xr:uid="{0E15DF5D-1B66-4ED5-B799-08DE68C75A90}"/>
    <cellStyle name="20% - Accent2 5 4 3 2" xfId="6297" xr:uid="{E4147599-F4E4-4E09-950D-323D53F2F79D}"/>
    <cellStyle name="20% - Accent2 5 4 4" xfId="2990" xr:uid="{DDA240B6-AA2C-4862-ACE1-2FA6A11BE215}"/>
    <cellStyle name="20% - Accent2 5 4 4 2" xfId="7121" xr:uid="{D9A1030A-9461-4342-B4E7-ACB5AFEFB57F}"/>
    <cellStyle name="20% - Accent2 5 4 5" xfId="3814" xr:uid="{D7935625-90ED-49D1-B193-19A57026519B}"/>
    <cellStyle name="20% - Accent2 5 4 5 2" xfId="7973" xr:uid="{B568EC74-23B2-4DB5-A941-789F18339C32}"/>
    <cellStyle name="20% - Accent2 5 4 6" xfId="4644" xr:uid="{1A15185A-E72A-44F9-8906-3CD8284422DD}"/>
    <cellStyle name="20% - Accent2 5 4 7" xfId="8820" xr:uid="{78E86014-2AB5-409D-AF94-CCA367536B87}"/>
    <cellStyle name="20% - Accent2 5 5" xfId="919" xr:uid="{FD65E82B-8D29-4312-ACB4-A25AC726982B}"/>
    <cellStyle name="20% - Accent2 5 5 2" xfId="5051" xr:uid="{07A05F29-5DA5-4AA9-A072-058F884AB476}"/>
    <cellStyle name="20% - Accent2 5 6" xfId="1747" xr:uid="{A899E29E-70AC-462E-99CD-B1A3EF58C029}"/>
    <cellStyle name="20% - Accent2 5 6 2" xfId="5878" xr:uid="{4CFBF916-CA13-47D0-A49C-34BBF4A8E67E}"/>
    <cellStyle name="20% - Accent2 5 7" xfId="2571" xr:uid="{A7177A4B-22EA-475F-8412-EB1DD04C2161}"/>
    <cellStyle name="20% - Accent2 5 7 2" xfId="6702" xr:uid="{9E6E8D5A-2F41-46BD-80C2-785BECB5AF3D}"/>
    <cellStyle name="20% - Accent2 5 8" xfId="3395" xr:uid="{1DAEDE70-4BAA-4020-9D3E-9EA8A06A6F86}"/>
    <cellStyle name="20% - Accent2 5 8 2" xfId="7554" xr:uid="{45D4AAD6-FE73-4575-8435-2B171CED5A0D}"/>
    <cellStyle name="20% - Accent2 5 9" xfId="4225" xr:uid="{3582D2E2-0642-4997-8706-5C861D59112D}"/>
    <cellStyle name="20% - Accent2 6" xfId="133" xr:uid="{00000000-0005-0000-0000-000072000000}"/>
    <cellStyle name="20% - Accent2 6 2" xfId="343" xr:uid="{00000000-0005-0000-0000-000073000000}"/>
    <cellStyle name="20% - Accent2 6 2 2" xfId="760" xr:uid="{00000000-0005-0000-0000-000074000000}"/>
    <cellStyle name="20% - Accent2 6 2 2 2" xfId="1586" xr:uid="{6740F69F-4405-4B7B-8515-C585C0DD365C}"/>
    <cellStyle name="20% - Accent2 6 2 2 2 2" xfId="5718" xr:uid="{38732EBE-444E-4BB7-8910-1BB8479034EA}"/>
    <cellStyle name="20% - Accent2 6 2 2 3" xfId="2414" xr:uid="{1DDAA829-142C-4D47-92E1-BC1399AF5F8C}"/>
    <cellStyle name="20% - Accent2 6 2 2 3 2" xfId="6545" xr:uid="{B913BCB5-12A2-4177-AABD-7F3F4B0A352E}"/>
    <cellStyle name="20% - Accent2 6 2 2 4" xfId="3238" xr:uid="{E859715D-7DC7-4868-A80B-7582C90CDBDD}"/>
    <cellStyle name="20% - Accent2 6 2 2 4 2" xfId="7369" xr:uid="{5DA5616D-8D60-49B6-824A-33D3A84F1033}"/>
    <cellStyle name="20% - Accent2 6 2 2 5" xfId="4062" xr:uid="{D91B7F3C-88A2-4ED3-9839-63069645A1E5}"/>
    <cellStyle name="20% - Accent2 6 2 2 5 2" xfId="8221" xr:uid="{1DDCF391-804B-4285-B78E-BE333EC66892}"/>
    <cellStyle name="20% - Accent2 6 2 2 6" xfId="4892" xr:uid="{045B538E-934A-4335-8D26-2BF22766E4A8}"/>
    <cellStyle name="20% - Accent2 6 2 2 7" xfId="9068" xr:uid="{DA96246F-6BF3-4A6C-885E-BB1539311FD7}"/>
    <cellStyle name="20% - Accent2 6 2 3" xfId="1169" xr:uid="{3AF46B0B-FE81-4D02-9EDD-C571EA239278}"/>
    <cellStyle name="20% - Accent2 6 2 3 2" xfId="5301" xr:uid="{515A2FC8-1FC2-4170-8E6B-7B9442B53587}"/>
    <cellStyle name="20% - Accent2 6 2 4" xfId="1997" xr:uid="{755C1A93-3D6D-4CA9-94F1-45A06BA4C2B9}"/>
    <cellStyle name="20% - Accent2 6 2 4 2" xfId="6128" xr:uid="{D4FA8FB6-80DD-4652-8308-612A12559AF1}"/>
    <cellStyle name="20% - Accent2 6 2 5" xfId="2821" xr:uid="{AD2B3962-360B-4C65-84C7-4085973EE055}"/>
    <cellStyle name="20% - Accent2 6 2 5 2" xfId="6952" xr:uid="{BE53CEC9-0B5D-46AD-8FED-5724527474A0}"/>
    <cellStyle name="20% - Accent2 6 2 6" xfId="3645" xr:uid="{788CEC3E-EEB4-4214-B14B-B0DE207CA2DB}"/>
    <cellStyle name="20% - Accent2 6 2 6 2" xfId="7804" xr:uid="{C62C4853-2CD6-4F4E-9652-5DD438D40C27}"/>
    <cellStyle name="20% - Accent2 6 2 7" xfId="4475" xr:uid="{7540B602-915E-49CD-B670-0A88712B5D2E}"/>
    <cellStyle name="20% - Accent2 6 2 8" xfId="8651" xr:uid="{FB77BBE7-A192-4C87-8A8B-CDB7337F508B}"/>
    <cellStyle name="20% - Accent2 6 3" xfId="552" xr:uid="{00000000-0005-0000-0000-000075000000}"/>
    <cellStyle name="20% - Accent2 6 3 2" xfId="1378" xr:uid="{8694FF7F-919B-4B4E-87DA-2ADB65918F4E}"/>
    <cellStyle name="20% - Accent2 6 3 2 2" xfId="5510" xr:uid="{4CBED182-8452-431D-86CF-FBD5FDD3BED0}"/>
    <cellStyle name="20% - Accent2 6 3 3" xfId="2206" xr:uid="{AE4C10CB-92B6-487D-8D86-0E29F71E0177}"/>
    <cellStyle name="20% - Accent2 6 3 3 2" xfId="6337" xr:uid="{A306D425-3AA8-4AC4-B844-58AAD0938A3C}"/>
    <cellStyle name="20% - Accent2 6 3 4" xfId="3030" xr:uid="{A33FB982-996A-49FD-A100-4E214FFDCCFD}"/>
    <cellStyle name="20% - Accent2 6 3 4 2" xfId="7161" xr:uid="{7132EBB2-4ADF-4061-ABFE-0082DE154E7C}"/>
    <cellStyle name="20% - Accent2 6 3 5" xfId="3854" xr:uid="{584C1BF8-ABC8-4516-ACE0-66B4186F45D2}"/>
    <cellStyle name="20% - Accent2 6 3 5 2" xfId="8013" xr:uid="{1BFC0A00-5957-4D4E-89C7-827ADF87DEB3}"/>
    <cellStyle name="20% - Accent2 6 3 6" xfId="4684" xr:uid="{52995038-9ED3-4E81-B88E-4754DA618C37}"/>
    <cellStyle name="20% - Accent2 6 3 7" xfId="8860" xr:uid="{4E384E45-B6C2-4620-9896-5AC209797AFB}"/>
    <cellStyle name="20% - Accent2 6 4" xfId="959" xr:uid="{A46EC13F-EADC-43B9-AFFD-3CB55C5A825B}"/>
    <cellStyle name="20% - Accent2 6 4 2" xfId="5091" xr:uid="{92D58C19-A470-4930-8A38-907FAC8EB65F}"/>
    <cellStyle name="20% - Accent2 6 5" xfId="1787" xr:uid="{E4AFB812-A084-4FE5-B9CC-1B55C66312EF}"/>
    <cellStyle name="20% - Accent2 6 5 2" xfId="5918" xr:uid="{76AF84FE-A138-42D5-B0C2-A5BD57A82F58}"/>
    <cellStyle name="20% - Accent2 6 6" xfId="2611" xr:uid="{3E392133-708A-490E-BAF2-440101072DC8}"/>
    <cellStyle name="20% - Accent2 6 6 2" xfId="6742" xr:uid="{53504091-336D-4817-A861-2AE72AEAE8DF}"/>
    <cellStyle name="20% - Accent2 6 7" xfId="3435" xr:uid="{974FDB15-24A8-45EA-AA36-FF039982AB84}"/>
    <cellStyle name="20% - Accent2 6 7 2" xfId="7594" xr:uid="{0A9EA02E-1193-4226-9078-ACCC8684DE06}"/>
    <cellStyle name="20% - Accent2 6 8" xfId="4265" xr:uid="{27F48126-BFC5-49FE-AB87-6B46B84AD9A7}"/>
    <cellStyle name="20% - Accent2 6 9" xfId="8441" xr:uid="{2537A6C0-CE9C-44EE-8F39-B8CCA8BFD6BE}"/>
    <cellStyle name="20% - Accent2 7" xfId="146" xr:uid="{00000000-0005-0000-0000-000076000000}"/>
    <cellStyle name="20% - Accent2 7 2" xfId="355" xr:uid="{00000000-0005-0000-0000-000077000000}"/>
    <cellStyle name="20% - Accent2 7 2 2" xfId="772" xr:uid="{00000000-0005-0000-0000-000078000000}"/>
    <cellStyle name="20% - Accent2 7 2 2 2" xfId="1598" xr:uid="{68977E77-FE00-4FE8-84CF-8CCDE481553D}"/>
    <cellStyle name="20% - Accent2 7 2 2 2 2" xfId="5730" xr:uid="{511248DD-6979-4C64-83C2-6E8EFDD4A94F}"/>
    <cellStyle name="20% - Accent2 7 2 2 3" xfId="2426" xr:uid="{FCEBD383-C4D1-4B43-BC04-414B542D38AE}"/>
    <cellStyle name="20% - Accent2 7 2 2 3 2" xfId="6557" xr:uid="{0F350541-335F-4C89-82C6-A897D9844F9B}"/>
    <cellStyle name="20% - Accent2 7 2 2 4" xfId="3250" xr:uid="{FC173761-1868-4B7D-8F09-8059F20D5AB8}"/>
    <cellStyle name="20% - Accent2 7 2 2 4 2" xfId="7381" xr:uid="{D806F8F3-D16E-4328-9F19-D859C3878647}"/>
    <cellStyle name="20% - Accent2 7 2 2 5" xfId="4074" xr:uid="{081142AC-0CC8-4FFD-98C2-218FD0863D09}"/>
    <cellStyle name="20% - Accent2 7 2 2 5 2" xfId="8233" xr:uid="{03773968-C3D1-43D2-AAD9-ADC6560975A4}"/>
    <cellStyle name="20% - Accent2 7 2 2 6" xfId="4904" xr:uid="{934FEC00-F1A7-42B5-9B0A-AC121BCDFBD5}"/>
    <cellStyle name="20% - Accent2 7 2 2 7" xfId="9080" xr:uid="{93774F37-DDF7-402A-9FDD-DE55F88D400A}"/>
    <cellStyle name="20% - Accent2 7 2 3" xfId="1181" xr:uid="{34F38818-5D35-47DB-8FB7-AC5BEC7F18CE}"/>
    <cellStyle name="20% - Accent2 7 2 3 2" xfId="5313" xr:uid="{F3E1EA2A-6ED0-44EF-A7CD-27E855007E97}"/>
    <cellStyle name="20% - Accent2 7 2 4" xfId="2009" xr:uid="{327360E0-2E71-4915-B4BA-1613C23DC601}"/>
    <cellStyle name="20% - Accent2 7 2 4 2" xfId="6140" xr:uid="{812DE303-A8E3-41EF-A089-BDCA175BF816}"/>
    <cellStyle name="20% - Accent2 7 2 5" xfId="2833" xr:uid="{D356F8AE-80E6-420C-BE77-1FBDBF8EB52F}"/>
    <cellStyle name="20% - Accent2 7 2 5 2" xfId="6964" xr:uid="{11C4E7F3-53DC-4316-925E-8F7C0211BB09}"/>
    <cellStyle name="20% - Accent2 7 2 6" xfId="3657" xr:uid="{71F78B53-8D3F-4174-A6CD-8D5D35321486}"/>
    <cellStyle name="20% - Accent2 7 2 6 2" xfId="7816" xr:uid="{3CF3B7F4-B82A-45C7-98FE-D1B2DB8B8B30}"/>
    <cellStyle name="20% - Accent2 7 2 7" xfId="4487" xr:uid="{12DD62FB-5EAD-4B22-B3CD-D7876674876A}"/>
    <cellStyle name="20% - Accent2 7 2 8" xfId="8663" xr:uid="{B36F4A34-2513-4541-A1D9-5E5899C65858}"/>
    <cellStyle name="20% - Accent2 7 3" xfId="564" xr:uid="{00000000-0005-0000-0000-000079000000}"/>
    <cellStyle name="20% - Accent2 7 3 2" xfId="1390" xr:uid="{525DE8B1-20BD-4037-8F28-A84EEEF8EAC8}"/>
    <cellStyle name="20% - Accent2 7 3 2 2" xfId="5522" xr:uid="{062075D5-2620-42CC-AA6C-669EA01BB7B2}"/>
    <cellStyle name="20% - Accent2 7 3 3" xfId="2218" xr:uid="{703B12A7-D87A-48FE-96ED-A7AA2E87F5D9}"/>
    <cellStyle name="20% - Accent2 7 3 3 2" xfId="6349" xr:uid="{5BE10DA9-6A0A-4BFB-91A5-8F28D447BCC0}"/>
    <cellStyle name="20% - Accent2 7 3 4" xfId="3042" xr:uid="{16E4BBE7-F7B0-4B94-8F0D-49FD1F110D60}"/>
    <cellStyle name="20% - Accent2 7 3 4 2" xfId="7173" xr:uid="{187E63A6-6D98-4DB8-8376-11B54DA0035B}"/>
    <cellStyle name="20% - Accent2 7 3 5" xfId="3866" xr:uid="{F91C4D46-C032-4DC7-B277-83A13AD85C2F}"/>
    <cellStyle name="20% - Accent2 7 3 5 2" xfId="8025" xr:uid="{4373C666-D811-4CEA-A1BE-24A511DF1D6B}"/>
    <cellStyle name="20% - Accent2 7 3 6" xfId="4696" xr:uid="{F3E5BFE7-AC09-45DC-B81E-E45C0FC7D03B}"/>
    <cellStyle name="20% - Accent2 7 3 7" xfId="8872" xr:uid="{F4A85117-CF06-41BE-BA6B-95DD427A9FC3}"/>
    <cellStyle name="20% - Accent2 7 4" xfId="972" xr:uid="{5CFAA3E0-2CA0-45CE-A5A9-B11D7C0609A6}"/>
    <cellStyle name="20% - Accent2 7 4 2" xfId="5104" xr:uid="{58EF829A-266D-4F0C-AECE-6C9AAB16B815}"/>
    <cellStyle name="20% - Accent2 7 5" xfId="1800" xr:uid="{DBE71692-6CC3-46D1-BF53-C5AAEB14D150}"/>
    <cellStyle name="20% - Accent2 7 5 2" xfId="5931" xr:uid="{79919D2A-F136-4DDE-9D9D-82CF69813D8A}"/>
    <cellStyle name="20% - Accent2 7 6" xfId="2624" xr:uid="{D695E8DC-699A-42DD-98B3-8ED0156C4FF4}"/>
    <cellStyle name="20% - Accent2 7 6 2" xfId="6755" xr:uid="{6FD2356F-1944-498A-AC7A-2514E8C1F9AB}"/>
    <cellStyle name="20% - Accent2 7 7" xfId="3448" xr:uid="{C1883E52-6460-492D-8970-F8136CA8A15F}"/>
    <cellStyle name="20% - Accent2 7 7 2" xfId="7607" xr:uid="{894A446A-4960-4FA1-B100-F5490174B807}"/>
    <cellStyle name="20% - Accent2 7 8" xfId="4278" xr:uid="{FCDC1CA3-4238-4F02-9314-499E76585220}"/>
    <cellStyle name="20% - Accent2 7 9" xfId="8454" xr:uid="{DB0E9418-E119-40C8-BB5E-6C65D9C145EE}"/>
    <cellStyle name="20% - Accent2 8" xfId="238" xr:uid="{00000000-0005-0000-0000-00007A000000}"/>
    <cellStyle name="20% - Accent2 8 2" xfId="656" xr:uid="{00000000-0005-0000-0000-00007B000000}"/>
    <cellStyle name="20% - Accent2 8 2 2" xfId="1482" xr:uid="{4D71622C-FACD-402A-A1E1-E8A3D6E78815}"/>
    <cellStyle name="20% - Accent2 8 2 2 2" xfId="5614" xr:uid="{64E04C08-AD32-486E-BF41-E74A69282F53}"/>
    <cellStyle name="20% - Accent2 8 2 3" xfId="2310" xr:uid="{E52FC303-574C-4887-A1B1-B74082C9C1F0}"/>
    <cellStyle name="20% - Accent2 8 2 3 2" xfId="6441" xr:uid="{ACBA3A13-5451-4952-B928-C390FD883D72}"/>
    <cellStyle name="20% - Accent2 8 2 4" xfId="3134" xr:uid="{BD99443F-19F9-488B-949B-135311310A05}"/>
    <cellStyle name="20% - Accent2 8 2 4 2" xfId="7265" xr:uid="{F451B69B-1279-4B81-9C24-7E34E67B309B}"/>
    <cellStyle name="20% - Accent2 8 2 5" xfId="3958" xr:uid="{EBF2B929-3A4E-49C4-B04E-363C3F479115}"/>
    <cellStyle name="20% - Accent2 8 2 5 2" xfId="8117" xr:uid="{9A4D02EB-949E-4E2C-820A-5A523BE647D2}"/>
    <cellStyle name="20% - Accent2 8 2 6" xfId="4788" xr:uid="{FEC8FBB0-6A75-4BA2-A1C9-6764CC686E0D}"/>
    <cellStyle name="20% - Accent2 8 2 7" xfId="8964" xr:uid="{F17760E4-ECC4-4CD4-A508-963EEAED32BA}"/>
    <cellStyle name="20% - Accent2 8 3" xfId="1064" xr:uid="{66B5F8C9-755B-4D2F-BB4F-BCB5E69FB53C}"/>
    <cellStyle name="20% - Accent2 8 3 2" xfId="5196" xr:uid="{0A953FAB-DAC8-40DE-8876-F112A20BCD54}"/>
    <cellStyle name="20% - Accent2 8 4" xfId="1892" xr:uid="{DB1787DE-3161-4ECA-871F-418E0BA8DEA5}"/>
    <cellStyle name="20% - Accent2 8 4 2" xfId="6023" xr:uid="{D39B4375-5C19-4FD7-9893-12BD69F74BA9}"/>
    <cellStyle name="20% - Accent2 8 5" xfId="2716" xr:uid="{5B34957B-2359-4F51-A565-9C79A3EE0582}"/>
    <cellStyle name="20% - Accent2 8 5 2" xfId="6847" xr:uid="{0936FE8A-502C-44F4-8972-88808B1BDA92}"/>
    <cellStyle name="20% - Accent2 8 6" xfId="3540" xr:uid="{12134D2D-3CA7-4883-ACEC-66172167FC78}"/>
    <cellStyle name="20% - Accent2 8 6 2" xfId="7699" xr:uid="{A98B5E67-FDB9-4BCA-88F5-3846766145A4}"/>
    <cellStyle name="20% - Accent2 8 7" xfId="4370" xr:uid="{F57712D7-7FC8-44BB-A664-F650811830B7}"/>
    <cellStyle name="20% - Accent2 8 8" xfId="8546" xr:uid="{28A560AA-25F2-48EE-8E1F-BAE7D0296022}"/>
    <cellStyle name="20% - Accent2 9" xfId="251" xr:uid="{00000000-0005-0000-0000-00007C000000}"/>
    <cellStyle name="20% - Accent2 9 2" xfId="668" xr:uid="{00000000-0005-0000-0000-00007D000000}"/>
    <cellStyle name="20% - Accent2 9 2 2" xfId="1494" xr:uid="{AC844DA8-4DBA-4EC4-83B1-E731421F7416}"/>
    <cellStyle name="20% - Accent2 9 2 2 2" xfId="5626" xr:uid="{4E6F94FF-C2AF-4969-BD95-28E9261C2E29}"/>
    <cellStyle name="20% - Accent2 9 2 3" xfId="2322" xr:uid="{B59AA4C5-8722-4604-8B5B-BBDD113A06FB}"/>
    <cellStyle name="20% - Accent2 9 2 3 2" xfId="6453" xr:uid="{E3C6419C-9E29-4BC8-982E-CCFCDE880FC1}"/>
    <cellStyle name="20% - Accent2 9 2 4" xfId="3146" xr:uid="{8F4EE915-616D-4A38-9E25-464FC13648FD}"/>
    <cellStyle name="20% - Accent2 9 2 4 2" xfId="7277" xr:uid="{786E5D2B-6459-4760-B841-C859CD126E1C}"/>
    <cellStyle name="20% - Accent2 9 2 5" xfId="3970" xr:uid="{FE1B0EA8-9553-4086-B151-AEC0E733165F}"/>
    <cellStyle name="20% - Accent2 9 2 5 2" xfId="8129" xr:uid="{3125A89A-9EAF-442D-8D4E-26D5AF267214}"/>
    <cellStyle name="20% - Accent2 9 2 6" xfId="4800" xr:uid="{50B46B04-8C57-4AD2-A4C1-71E690C3EA5A}"/>
    <cellStyle name="20% - Accent2 9 2 7" xfId="8976" xr:uid="{2F25B0B4-1279-4022-AAE8-26ED4E2763A8}"/>
    <cellStyle name="20% - Accent2 9 3" xfId="1077" xr:uid="{5C91175B-CB0A-4AB7-8E8D-C4966D0632EE}"/>
    <cellStyle name="20% - Accent2 9 3 2" xfId="5209" xr:uid="{F12DCF12-3E61-4B07-880A-1668E5A5FF14}"/>
    <cellStyle name="20% - Accent2 9 4" xfId="1905" xr:uid="{0B2F1037-0892-40A1-A2B1-9EB2D1602ED9}"/>
    <cellStyle name="20% - Accent2 9 4 2" xfId="6036" xr:uid="{7280E853-B164-4B8B-869A-6C964F5FB7F9}"/>
    <cellStyle name="20% - Accent2 9 5" xfId="2729" xr:uid="{ABCD56E2-DFDA-44B3-AB19-01B7E341B5E0}"/>
    <cellStyle name="20% - Accent2 9 5 2" xfId="6860" xr:uid="{CE3874FA-F85E-454C-9BC0-4C26205B8483}"/>
    <cellStyle name="20% - Accent2 9 6" xfId="3553" xr:uid="{48080105-86EF-4245-9F8D-A612BAAAD3EA}"/>
    <cellStyle name="20% - Accent2 9 6 2" xfId="7712" xr:uid="{42C21605-961E-4AD0-A2C6-9C23ED6C72FC}"/>
    <cellStyle name="20% - Accent2 9 7" xfId="4383" xr:uid="{1CFF7BCF-32EC-4287-9726-9A0DF08F9343}"/>
    <cellStyle name="20% - Accent2 9 8" xfId="8559" xr:uid="{8059A64A-5049-4D76-BAED-3B43BD342E09}"/>
    <cellStyle name="20% - Accent3" xfId="29" builtinId="38" customBuiltin="1"/>
    <cellStyle name="20% - Accent3 10" xfId="449" xr:uid="{00000000-0005-0000-0000-00007F000000}"/>
    <cellStyle name="20% - Accent3 10 2" xfId="1275" xr:uid="{9DE147DA-EE38-45DC-B486-0D200CC3A0FC}"/>
    <cellStyle name="20% - Accent3 10 2 2" xfId="5407" xr:uid="{C6A69A0C-265F-4808-BC72-5EFDF10F6F77}"/>
    <cellStyle name="20% - Accent3 10 3" xfId="1690" xr:uid="{D24B3923-9C57-40B8-A391-28BB81D643CE}"/>
    <cellStyle name="20% - Accent3 10 3 2" xfId="5821" xr:uid="{3095A304-8C71-42BF-B59B-23D474047AD6}"/>
    <cellStyle name="20% - Accent3 10 4" xfId="2103" xr:uid="{19DEAA5D-CB8D-4EAE-8EE9-F2ECB3559DCD}"/>
    <cellStyle name="20% - Accent3 10 4 2" xfId="6234" xr:uid="{4E1F23E3-4109-42B8-8263-3ED6C84FD4ED}"/>
    <cellStyle name="20% - Accent3 10 5" xfId="2927" xr:uid="{D723A00B-09B9-4A3C-8B6D-893E4197B9EE}"/>
    <cellStyle name="20% - Accent3 10 5 2" xfId="7058" xr:uid="{0ADDA28E-3E89-4EBA-B720-A0DB2FDE6C1E}"/>
    <cellStyle name="20% - Accent3 10 6" xfId="3751" xr:uid="{4FBF1938-816E-4112-B117-0537FFFD407B}"/>
    <cellStyle name="20% - Accent3 10 6 2" xfId="7910" xr:uid="{ABFD26D0-1983-44C3-9AD2-EDCF1CE20F40}"/>
    <cellStyle name="20% - Accent3 10 7" xfId="4581" xr:uid="{0E3F7D68-DF36-4F22-A11F-C77126A21562}"/>
    <cellStyle name="20% - Accent3 10 8" xfId="8757" xr:uid="{E24EA328-3139-4F53-B21E-DDDBADA089C4}"/>
    <cellStyle name="20% - Accent3 11" xfId="462" xr:uid="{00000000-0005-0000-0000-000080000000}"/>
    <cellStyle name="20% - Accent3 11 2" xfId="1288" xr:uid="{C10D1ADE-7657-4DE0-A799-09988F31EBF4}"/>
    <cellStyle name="20% - Accent3 11 2 2" xfId="5420" xr:uid="{9AFBA1C1-C244-41B4-94ED-4051AB8DBB11}"/>
    <cellStyle name="20% - Accent3 11 3" xfId="2116" xr:uid="{07E0AB7A-A23F-4F1B-9D94-F41BCE37B100}"/>
    <cellStyle name="20% - Accent3 11 3 2" xfId="6247" xr:uid="{1F4EA487-9BB8-4E56-A8C3-BDF0DED7B4C5}"/>
    <cellStyle name="20% - Accent3 11 4" xfId="2940" xr:uid="{13876120-57D0-4E3D-9F84-88FE0F7355C1}"/>
    <cellStyle name="20% - Accent3 11 4 2" xfId="7071" xr:uid="{7CFD1E74-DB28-4DAB-85B7-AE220A6F6DF9}"/>
    <cellStyle name="20% - Accent3 11 5" xfId="3764" xr:uid="{11BF09D4-8D06-4AEF-880A-FB9E2258391F}"/>
    <cellStyle name="20% - Accent3 11 5 2" xfId="7923" xr:uid="{272E176E-7B27-43F8-9F27-4ABDAB800F55}"/>
    <cellStyle name="20% - Accent3 11 6" xfId="4594" xr:uid="{46981421-CB2C-4636-989E-F3556A89014E}"/>
    <cellStyle name="20% - Accent3 11 7" xfId="8770" xr:uid="{E2C91DB6-100C-4B5B-A5AF-1479FEDDA1F8}"/>
    <cellStyle name="20% - Accent3 12" xfId="867" xr:uid="{41071E0F-FE54-4BC6-A8B7-0145CC4979B0}"/>
    <cellStyle name="20% - Accent3 12 2" xfId="4999" xr:uid="{CCDFAFF1-FF0C-4088-A2B0-BBEC11B2D427}"/>
    <cellStyle name="20% - Accent3 13" xfId="1696" xr:uid="{1D62E394-9E39-4910-BFC4-2D5729B26649}"/>
    <cellStyle name="20% - Accent3 13 2" xfId="5827" xr:uid="{E30187A2-B43B-497F-B79A-99879FB7D2C7}"/>
    <cellStyle name="20% - Accent3 14" xfId="2520" xr:uid="{390ABDAF-C783-467B-B57A-22DF8C7FAE7C}"/>
    <cellStyle name="20% - Accent3 14 2" xfId="6651" xr:uid="{23F11039-060D-4729-91A8-8CA3586A53BA}"/>
    <cellStyle name="20% - Accent3 15" xfId="3344" xr:uid="{A73422DA-C036-4A0B-AF8F-8F6E952F6F30}"/>
    <cellStyle name="20% - Accent3 15 2" xfId="7503" xr:uid="{50AEFF4F-81FA-4C64-ADE4-91ACCA77B362}"/>
    <cellStyle name="20% - Accent3 16" xfId="4173" xr:uid="{DCA7A0DE-6611-4626-B1A5-36AE35B2EE78}"/>
    <cellStyle name="20% - Accent3 17" xfId="8350" xr:uid="{3D2206BA-EB81-4792-9673-B9E345A2CFDC}"/>
    <cellStyle name="20% - Accent3 2" xfId="56" xr:uid="{00000000-0005-0000-0000-000081000000}"/>
    <cellStyle name="20% - Accent3 2 10" xfId="4188" xr:uid="{B5FFDD81-CBF1-4E61-B365-66B2D08F9420}"/>
    <cellStyle name="20% - Accent3 2 11" xfId="8364" xr:uid="{1D5BDCE5-6730-498B-B14A-87F6C0FEA877}"/>
    <cellStyle name="20% - Accent3 2 2" xfId="109" xr:uid="{00000000-0005-0000-0000-000082000000}"/>
    <cellStyle name="20% - Accent3 2 2 10" xfId="8417" xr:uid="{5C8B5FCC-0C87-4B58-8542-207882B4B314}"/>
    <cellStyle name="20% - Accent3 2 2 2" xfId="214" xr:uid="{00000000-0005-0000-0000-000083000000}"/>
    <cellStyle name="20% - Accent3 2 2 2 2" xfId="423" xr:uid="{00000000-0005-0000-0000-000084000000}"/>
    <cellStyle name="20% - Accent3 2 2 2 2 2" xfId="840" xr:uid="{00000000-0005-0000-0000-000085000000}"/>
    <cellStyle name="20% - Accent3 2 2 2 2 2 2" xfId="1666" xr:uid="{3D47A3E4-A3C6-4FA2-B391-D1F071E33FA2}"/>
    <cellStyle name="20% - Accent3 2 2 2 2 2 2 2" xfId="5798" xr:uid="{53205C68-B808-43E7-AE10-7C5E970FCD5E}"/>
    <cellStyle name="20% - Accent3 2 2 2 2 2 3" xfId="2494" xr:uid="{C0CF06DA-1CA8-4253-A564-0EF90BC64A23}"/>
    <cellStyle name="20% - Accent3 2 2 2 2 2 3 2" xfId="6625" xr:uid="{1D21C013-FBBA-475F-85E5-61ACB27B11C4}"/>
    <cellStyle name="20% - Accent3 2 2 2 2 2 4" xfId="3318" xr:uid="{48B3E8C6-E99F-4940-9285-22F93045845B}"/>
    <cellStyle name="20% - Accent3 2 2 2 2 2 4 2" xfId="7449" xr:uid="{57E9531A-F889-4AE5-9ECB-ECBB9A3F9410}"/>
    <cellStyle name="20% - Accent3 2 2 2 2 2 5" xfId="4142" xr:uid="{FAB6FCBD-5186-4982-A1CC-041F171A7BF2}"/>
    <cellStyle name="20% - Accent3 2 2 2 2 2 5 2" xfId="8301" xr:uid="{BB92711A-DF93-42E8-B73F-9373CD58E64A}"/>
    <cellStyle name="20% - Accent3 2 2 2 2 2 6" xfId="4972" xr:uid="{F7E2D53D-467B-449A-A395-D678AED84791}"/>
    <cellStyle name="20% - Accent3 2 2 2 2 2 7" xfId="9148" xr:uid="{5466518C-9FC4-4C3E-A04A-6B9B8FC3AD2B}"/>
    <cellStyle name="20% - Accent3 2 2 2 2 3" xfId="1249" xr:uid="{8BC6BDC1-8383-48CA-9B82-6D08DB69C805}"/>
    <cellStyle name="20% - Accent3 2 2 2 2 3 2" xfId="5381" xr:uid="{5D0AE073-45D1-4763-BE53-182BAE78D8E8}"/>
    <cellStyle name="20% - Accent3 2 2 2 2 4" xfId="2077" xr:uid="{57CB9C49-ACA7-461D-8B95-889C523D30C6}"/>
    <cellStyle name="20% - Accent3 2 2 2 2 4 2" xfId="6208" xr:uid="{CFEB8E37-A22E-42DD-857C-D626C40529AB}"/>
    <cellStyle name="20% - Accent3 2 2 2 2 5" xfId="2901" xr:uid="{21EF3D70-1636-4934-B98F-1BCFB52E80DB}"/>
    <cellStyle name="20% - Accent3 2 2 2 2 5 2" xfId="7032" xr:uid="{E0EEEDCC-F107-4214-84A7-8B39751731A9}"/>
    <cellStyle name="20% - Accent3 2 2 2 2 6" xfId="3725" xr:uid="{D797A6AD-CDF1-4069-BDCA-7B8BC3B3A003}"/>
    <cellStyle name="20% - Accent3 2 2 2 2 6 2" xfId="7884" xr:uid="{373D1818-8DE5-46EF-8B19-9D2F21794ED6}"/>
    <cellStyle name="20% - Accent3 2 2 2 2 7" xfId="4555" xr:uid="{FDEC7FA3-8F80-4915-A39B-05C78B372CA8}"/>
    <cellStyle name="20% - Accent3 2 2 2 2 8" xfId="8731" xr:uid="{36174896-3B0B-43E9-92D2-15D484322E01}"/>
    <cellStyle name="20% - Accent3 2 2 2 3" xfId="632" xr:uid="{00000000-0005-0000-0000-000086000000}"/>
    <cellStyle name="20% - Accent3 2 2 2 3 2" xfId="1458" xr:uid="{31135527-AAC5-4E45-801B-76FE6128C6D2}"/>
    <cellStyle name="20% - Accent3 2 2 2 3 2 2" xfId="5590" xr:uid="{44A612E9-51F8-4BF0-8ADB-08E6E3303670}"/>
    <cellStyle name="20% - Accent3 2 2 2 3 3" xfId="2286" xr:uid="{602565B5-9265-4F8E-8A7B-0951097A5759}"/>
    <cellStyle name="20% - Accent3 2 2 2 3 3 2" xfId="6417" xr:uid="{D13F6F5C-CB9D-4309-A7AE-661B33D7CEF6}"/>
    <cellStyle name="20% - Accent3 2 2 2 3 4" xfId="3110" xr:uid="{25608D1A-85EC-4A21-8D4C-D73B047C3768}"/>
    <cellStyle name="20% - Accent3 2 2 2 3 4 2" xfId="7241" xr:uid="{636ABAA1-D9BC-4BA9-AFA6-1F2CAE105BE8}"/>
    <cellStyle name="20% - Accent3 2 2 2 3 5" xfId="3934" xr:uid="{3B413FFF-A001-49AF-AB91-E6D8BBBD1893}"/>
    <cellStyle name="20% - Accent3 2 2 2 3 5 2" xfId="8093" xr:uid="{58DE5BF3-0723-4008-9F52-70924FE52B5C}"/>
    <cellStyle name="20% - Accent3 2 2 2 3 6" xfId="4764" xr:uid="{4E3F9916-823F-407D-89C0-117835602F53}"/>
    <cellStyle name="20% - Accent3 2 2 2 3 7" xfId="8940" xr:uid="{ACEDC2D7-59CA-407B-9B1E-E704504FA1E5}"/>
    <cellStyle name="20% - Accent3 2 2 2 4" xfId="1040" xr:uid="{582828BF-0B02-4448-8037-02F5B0D83E69}"/>
    <cellStyle name="20% - Accent3 2 2 2 4 2" xfId="5172" xr:uid="{82945057-2C76-4080-9B0A-58F85DDD4460}"/>
    <cellStyle name="20% - Accent3 2 2 2 5" xfId="1868" xr:uid="{46175703-9B44-4959-8B4F-8B9AC4BEB3D9}"/>
    <cellStyle name="20% - Accent3 2 2 2 5 2" xfId="5999" xr:uid="{FEC0B1C7-7878-4FD1-AA91-7254A81B651A}"/>
    <cellStyle name="20% - Accent3 2 2 2 6" xfId="2692" xr:uid="{9F723345-483A-4213-B1A6-C037E8BABF20}"/>
    <cellStyle name="20% - Accent3 2 2 2 6 2" xfId="6823" xr:uid="{99A31F5E-9372-4B8B-A9FE-62D8F773E1CB}"/>
    <cellStyle name="20% - Accent3 2 2 2 7" xfId="3516" xr:uid="{ED5D149E-B763-4D34-A2A5-C7FBD0EB5FE6}"/>
    <cellStyle name="20% - Accent3 2 2 2 7 2" xfId="7675" xr:uid="{E972E85C-F027-4004-BEF5-9FF573B823AB}"/>
    <cellStyle name="20% - Accent3 2 2 2 8" xfId="4346" xr:uid="{A5229691-D422-4AC8-8CFD-526C7B438693}"/>
    <cellStyle name="20% - Accent3 2 2 2 9" xfId="8522" xr:uid="{FE02F765-5764-42BF-9C90-C06E356764D3}"/>
    <cellStyle name="20% - Accent3 2 2 3" xfId="319" xr:uid="{00000000-0005-0000-0000-000087000000}"/>
    <cellStyle name="20% - Accent3 2 2 3 2" xfId="736" xr:uid="{00000000-0005-0000-0000-000088000000}"/>
    <cellStyle name="20% - Accent3 2 2 3 2 2" xfId="1562" xr:uid="{E2BE00D1-9D40-438E-A2C1-56B9880CE7BF}"/>
    <cellStyle name="20% - Accent3 2 2 3 2 2 2" xfId="5694" xr:uid="{11751F34-694C-4734-BC2B-307EE40C112C}"/>
    <cellStyle name="20% - Accent3 2 2 3 2 3" xfId="2390" xr:uid="{6C2B2257-A935-4898-9442-C7A57643A18C}"/>
    <cellStyle name="20% - Accent3 2 2 3 2 3 2" xfId="6521" xr:uid="{FB2C8172-FBA8-4421-9579-C90BC6B7DC60}"/>
    <cellStyle name="20% - Accent3 2 2 3 2 4" xfId="3214" xr:uid="{3BA31B1D-6EB4-4912-AE78-AD101C83B239}"/>
    <cellStyle name="20% - Accent3 2 2 3 2 4 2" xfId="7345" xr:uid="{B3F0218B-24C4-489D-BCD8-119B5DA113E3}"/>
    <cellStyle name="20% - Accent3 2 2 3 2 5" xfId="4038" xr:uid="{E769C813-60D0-4CB2-BE42-757FDE769637}"/>
    <cellStyle name="20% - Accent3 2 2 3 2 5 2" xfId="8197" xr:uid="{018DB8F9-EF00-4306-83F2-93757B2B074C}"/>
    <cellStyle name="20% - Accent3 2 2 3 2 6" xfId="4868" xr:uid="{96C9EC04-FD79-4F74-A7F6-FCBB7745A852}"/>
    <cellStyle name="20% - Accent3 2 2 3 2 7" xfId="9044" xr:uid="{6B56F84B-054C-40F9-A338-4520F358F1F7}"/>
    <cellStyle name="20% - Accent3 2 2 3 3" xfId="1145" xr:uid="{A2AFFBFB-6C92-47CB-8253-B05C2B52CB2C}"/>
    <cellStyle name="20% - Accent3 2 2 3 3 2" xfId="5277" xr:uid="{5F56BE70-A812-4640-A73E-661CC1A88ABB}"/>
    <cellStyle name="20% - Accent3 2 2 3 4" xfId="1973" xr:uid="{05CC58E9-1183-42EB-BB09-B1C585A02C83}"/>
    <cellStyle name="20% - Accent3 2 2 3 4 2" xfId="6104" xr:uid="{50E511A8-B247-48A6-9671-25764796F9E7}"/>
    <cellStyle name="20% - Accent3 2 2 3 5" xfId="2797" xr:uid="{1E76C8A3-424D-4555-A8EE-4B651A4A2E1C}"/>
    <cellStyle name="20% - Accent3 2 2 3 5 2" xfId="6928" xr:uid="{AA621077-36FD-404F-8604-F59B777A0F06}"/>
    <cellStyle name="20% - Accent3 2 2 3 6" xfId="3621" xr:uid="{D1F160CE-6CF1-4BD6-8FED-2B91DA19FE10}"/>
    <cellStyle name="20% - Accent3 2 2 3 6 2" xfId="7780" xr:uid="{F4BA9CC0-FD93-4CF4-93EC-A847584AF1C3}"/>
    <cellStyle name="20% - Accent3 2 2 3 7" xfId="4451" xr:uid="{7E722B2C-2AE6-45E3-AA9E-BC7191BE80E8}"/>
    <cellStyle name="20% - Accent3 2 2 3 8" xfId="8627" xr:uid="{67DBDD08-4B44-41A0-809F-12E1D608B956}"/>
    <cellStyle name="20% - Accent3 2 2 4" xfId="528" xr:uid="{00000000-0005-0000-0000-000089000000}"/>
    <cellStyle name="20% - Accent3 2 2 4 2" xfId="1354" xr:uid="{D1DE3456-2F6F-4D11-AA67-622D3F8BE829}"/>
    <cellStyle name="20% - Accent3 2 2 4 2 2" xfId="5486" xr:uid="{F2952A85-19B1-434F-A96A-B0AB4B036BFF}"/>
    <cellStyle name="20% - Accent3 2 2 4 3" xfId="2182" xr:uid="{1647C56D-4F34-443B-8468-03B265B662E9}"/>
    <cellStyle name="20% - Accent3 2 2 4 3 2" xfId="6313" xr:uid="{3757F23F-CC50-4BED-A686-01FA15165DBA}"/>
    <cellStyle name="20% - Accent3 2 2 4 4" xfId="3006" xr:uid="{1023A94F-37CD-485B-9823-36301A099E73}"/>
    <cellStyle name="20% - Accent3 2 2 4 4 2" xfId="7137" xr:uid="{8772FA9C-9DB1-4C5F-B08C-FAE6880712FF}"/>
    <cellStyle name="20% - Accent3 2 2 4 5" xfId="3830" xr:uid="{5CA239C1-D75F-4630-8AAB-9E9854434DA3}"/>
    <cellStyle name="20% - Accent3 2 2 4 5 2" xfId="7989" xr:uid="{61F30299-15EB-4146-A38B-19084D8BC9B4}"/>
    <cellStyle name="20% - Accent3 2 2 4 6" xfId="4660" xr:uid="{AFE56D45-1240-4B03-946C-2A3602F591C1}"/>
    <cellStyle name="20% - Accent3 2 2 4 7" xfId="8836" xr:uid="{28A5F25A-8FB9-4B91-B94B-22B9AB5F0E69}"/>
    <cellStyle name="20% - Accent3 2 2 5" xfId="935" xr:uid="{CB268598-0AB7-4E5D-93C0-0F09D2C3A119}"/>
    <cellStyle name="20% - Accent3 2 2 5 2" xfId="5067" xr:uid="{8FC1B2EA-C1DB-472E-8DD5-071BE5D25F4A}"/>
    <cellStyle name="20% - Accent3 2 2 6" xfId="1763" xr:uid="{20903E11-5143-4A51-8BA8-4F0DA8CED7B3}"/>
    <cellStyle name="20% - Accent3 2 2 6 2" xfId="5894" xr:uid="{E12C31CE-3BBE-49B4-8BDB-E9B51C652323}"/>
    <cellStyle name="20% - Accent3 2 2 7" xfId="2587" xr:uid="{57E89358-29C9-4287-B2EA-41BC69856D49}"/>
    <cellStyle name="20% - Accent3 2 2 7 2" xfId="6718" xr:uid="{8968C23C-4C5D-491A-83E1-CD4E6DC72A7D}"/>
    <cellStyle name="20% - Accent3 2 2 8" xfId="3411" xr:uid="{923B8647-2355-475F-B8BF-E8236485F15D}"/>
    <cellStyle name="20% - Accent3 2 2 8 2" xfId="7570" xr:uid="{69CC350D-A5F0-40BD-8DD5-914A34C68D9E}"/>
    <cellStyle name="20% - Accent3 2 2 9" xfId="4241" xr:uid="{01A0A998-668F-496D-B877-0ACE4DB23D55}"/>
    <cellStyle name="20% - Accent3 2 3" xfId="162" xr:uid="{00000000-0005-0000-0000-00008A000000}"/>
    <cellStyle name="20% - Accent3 2 3 2" xfId="371" xr:uid="{00000000-0005-0000-0000-00008B000000}"/>
    <cellStyle name="20% - Accent3 2 3 2 2" xfId="788" xr:uid="{00000000-0005-0000-0000-00008C000000}"/>
    <cellStyle name="20% - Accent3 2 3 2 2 2" xfId="1614" xr:uid="{53C46401-B7A4-4968-9784-302AF6B134D0}"/>
    <cellStyle name="20% - Accent3 2 3 2 2 2 2" xfId="5746" xr:uid="{22D055B8-CFB9-4D97-89B4-EBA58A7D44AD}"/>
    <cellStyle name="20% - Accent3 2 3 2 2 3" xfId="2442" xr:uid="{0B13151D-4396-410F-8A78-41D15935A5D4}"/>
    <cellStyle name="20% - Accent3 2 3 2 2 3 2" xfId="6573" xr:uid="{74DDD7B6-7B38-4F02-99A7-6A77A01B7BBE}"/>
    <cellStyle name="20% - Accent3 2 3 2 2 4" xfId="3266" xr:uid="{DFD791B7-EEEF-47A3-9EAC-646D70EC4F1F}"/>
    <cellStyle name="20% - Accent3 2 3 2 2 4 2" xfId="7397" xr:uid="{5472160C-55C8-4BF7-952A-90A0A63F8A1A}"/>
    <cellStyle name="20% - Accent3 2 3 2 2 5" xfId="4090" xr:uid="{431B2C8D-9599-4DE6-8932-42FBDEB75285}"/>
    <cellStyle name="20% - Accent3 2 3 2 2 5 2" xfId="8249" xr:uid="{772AA26D-4F76-4E7A-95DC-689E088C6A7A}"/>
    <cellStyle name="20% - Accent3 2 3 2 2 6" xfId="4920" xr:uid="{AFD8AC34-560D-4001-9A09-B9B983DFDFD1}"/>
    <cellStyle name="20% - Accent3 2 3 2 2 7" xfId="9096" xr:uid="{7023093B-E820-4ACB-979C-BD9983316758}"/>
    <cellStyle name="20% - Accent3 2 3 2 3" xfId="1197" xr:uid="{F9DAAC1C-FFC5-4730-9370-74B4D319D06A}"/>
    <cellStyle name="20% - Accent3 2 3 2 3 2" xfId="5329" xr:uid="{448EDD0F-D744-42D2-80C3-FE9B4366AD10}"/>
    <cellStyle name="20% - Accent3 2 3 2 4" xfId="2025" xr:uid="{15B3BB56-A00C-475F-9216-2F8EF92DC99B}"/>
    <cellStyle name="20% - Accent3 2 3 2 4 2" xfId="6156" xr:uid="{C5AC35B8-FF6B-4796-9E2C-B611B5FBBD5B}"/>
    <cellStyle name="20% - Accent3 2 3 2 5" xfId="2849" xr:uid="{1B4EF6A1-4151-413F-8EA0-EA88A75E87D7}"/>
    <cellStyle name="20% - Accent3 2 3 2 5 2" xfId="6980" xr:uid="{E25AEE65-3E81-430F-8126-B12A8C8D8F8C}"/>
    <cellStyle name="20% - Accent3 2 3 2 6" xfId="3673" xr:uid="{578194DF-8284-4813-9125-3A15EB5D5E9B}"/>
    <cellStyle name="20% - Accent3 2 3 2 6 2" xfId="7832" xr:uid="{FA4EFEB7-B7E9-4E46-A649-100F8AE42ECF}"/>
    <cellStyle name="20% - Accent3 2 3 2 7" xfId="4503" xr:uid="{837890AC-713A-4DCC-AD49-105629B352CF}"/>
    <cellStyle name="20% - Accent3 2 3 2 8" xfId="8679" xr:uid="{67D3E2EB-4523-41CD-A1E8-1B8DDF20247A}"/>
    <cellStyle name="20% - Accent3 2 3 3" xfId="580" xr:uid="{00000000-0005-0000-0000-00008D000000}"/>
    <cellStyle name="20% - Accent3 2 3 3 2" xfId="1406" xr:uid="{40F29F0D-5D15-4BCB-AF44-8D4730B5DC16}"/>
    <cellStyle name="20% - Accent3 2 3 3 2 2" xfId="5538" xr:uid="{0716BB4F-1B86-4496-9F9E-62D4B8E458A8}"/>
    <cellStyle name="20% - Accent3 2 3 3 3" xfId="2234" xr:uid="{750BE211-64BF-4DAD-912A-EC4E22FCD906}"/>
    <cellStyle name="20% - Accent3 2 3 3 3 2" xfId="6365" xr:uid="{B4C18782-27DD-46D9-BA71-0E27BA5A16BE}"/>
    <cellStyle name="20% - Accent3 2 3 3 4" xfId="3058" xr:uid="{4B511A72-C982-4504-9680-F72D86BAA17B}"/>
    <cellStyle name="20% - Accent3 2 3 3 4 2" xfId="7189" xr:uid="{C2A13C2E-D600-4E4C-B4EE-DA5D9F0BDE94}"/>
    <cellStyle name="20% - Accent3 2 3 3 5" xfId="3882" xr:uid="{9B3C19B2-A5C3-4775-846E-2DDA6049785D}"/>
    <cellStyle name="20% - Accent3 2 3 3 5 2" xfId="8041" xr:uid="{23DDE6E4-E2D2-406E-A426-D9A25E4A01BC}"/>
    <cellStyle name="20% - Accent3 2 3 3 6" xfId="4712" xr:uid="{F3C084CD-21B7-4C48-8EA1-081A1BAD9011}"/>
    <cellStyle name="20% - Accent3 2 3 3 7" xfId="8888" xr:uid="{BB7C0C0C-613C-49CE-918A-563055334771}"/>
    <cellStyle name="20% - Accent3 2 3 4" xfId="988" xr:uid="{14CCBBD0-6DA5-490E-8B75-2B178FC44E44}"/>
    <cellStyle name="20% - Accent3 2 3 4 2" xfId="5120" xr:uid="{40FB5132-2D4A-40F9-A610-EBC418D36595}"/>
    <cellStyle name="20% - Accent3 2 3 5" xfId="1816" xr:uid="{AF9B925F-5423-448B-9C20-2AFC68B7A62D}"/>
    <cellStyle name="20% - Accent3 2 3 5 2" xfId="5947" xr:uid="{AD16E1A5-2A4F-4F3D-93D8-D9C432DE983F}"/>
    <cellStyle name="20% - Accent3 2 3 6" xfId="2640" xr:uid="{9B3F5F9B-FC12-4FE1-9446-E9ED1698BF40}"/>
    <cellStyle name="20% - Accent3 2 3 6 2" xfId="6771" xr:uid="{1879FCFF-B740-4269-A8A9-23C8F3FA73E8}"/>
    <cellStyle name="20% - Accent3 2 3 7" xfId="3464" xr:uid="{353C8C48-2320-4150-84F6-C6546A45B69A}"/>
    <cellStyle name="20% - Accent3 2 3 7 2" xfId="7623" xr:uid="{8BE4F8DE-4C4F-4CEE-A8A7-62DD0019E14D}"/>
    <cellStyle name="20% - Accent3 2 3 8" xfId="4294" xr:uid="{7197D733-4AA8-4F23-899C-A135A11BA303}"/>
    <cellStyle name="20% - Accent3 2 3 9" xfId="8470" xr:uid="{C426C9C0-F189-441A-A8E5-B44067D0699E}"/>
    <cellStyle name="20% - Accent3 2 4" xfId="267" xr:uid="{00000000-0005-0000-0000-00008E000000}"/>
    <cellStyle name="20% - Accent3 2 4 2" xfId="684" xr:uid="{00000000-0005-0000-0000-00008F000000}"/>
    <cellStyle name="20% - Accent3 2 4 2 2" xfId="1510" xr:uid="{0F828AD5-C8D8-477E-8F09-49C7EC79ED59}"/>
    <cellStyle name="20% - Accent3 2 4 2 2 2" xfId="5642" xr:uid="{4EB19392-76A9-4024-95E7-9077FEAC8EE1}"/>
    <cellStyle name="20% - Accent3 2 4 2 3" xfId="2338" xr:uid="{C66ED9BB-AFB6-4774-BA97-D6C5EAAFF684}"/>
    <cellStyle name="20% - Accent3 2 4 2 3 2" xfId="6469" xr:uid="{5BDE8D5D-7206-4C31-B6F7-4209C719EEB3}"/>
    <cellStyle name="20% - Accent3 2 4 2 4" xfId="3162" xr:uid="{58CEE187-C579-4052-AD90-55CB8144F772}"/>
    <cellStyle name="20% - Accent3 2 4 2 4 2" xfId="7293" xr:uid="{E35C1C13-1AB9-43C8-96BC-B8F9F4AD5964}"/>
    <cellStyle name="20% - Accent3 2 4 2 5" xfId="3986" xr:uid="{41FE0FDA-1004-4B82-B087-1CAA12A63300}"/>
    <cellStyle name="20% - Accent3 2 4 2 5 2" xfId="8145" xr:uid="{B44C9678-32EF-4419-87E3-48B40B437051}"/>
    <cellStyle name="20% - Accent3 2 4 2 6" xfId="4816" xr:uid="{B29F9A46-C536-49CE-A00A-47DA30E9D1BA}"/>
    <cellStyle name="20% - Accent3 2 4 2 7" xfId="8992" xr:uid="{2D1A0CB5-DC4E-481F-8FA6-53B45C18B50C}"/>
    <cellStyle name="20% - Accent3 2 4 3" xfId="1093" xr:uid="{64D45BB5-3D79-44D3-A166-340FBA0BBA1A}"/>
    <cellStyle name="20% - Accent3 2 4 3 2" xfId="5225" xr:uid="{278C4B39-3E12-453B-8644-3602EC96796A}"/>
    <cellStyle name="20% - Accent3 2 4 4" xfId="1921" xr:uid="{97BC4898-23E3-459E-8128-643BB328A310}"/>
    <cellStyle name="20% - Accent3 2 4 4 2" xfId="6052" xr:uid="{D71E1E62-4979-4539-9247-45205A5C5FF2}"/>
    <cellStyle name="20% - Accent3 2 4 5" xfId="2745" xr:uid="{0CCA9F3F-9C01-40A7-878E-17C99878F268}"/>
    <cellStyle name="20% - Accent3 2 4 5 2" xfId="6876" xr:uid="{D65CA063-9348-4C31-B3E5-4F4ABCC7C40B}"/>
    <cellStyle name="20% - Accent3 2 4 6" xfId="3569" xr:uid="{C400CA05-0F3F-4125-9694-9C6DF79D76FF}"/>
    <cellStyle name="20% - Accent3 2 4 6 2" xfId="7728" xr:uid="{FC7392CE-88A9-4C81-B165-6D7C41D79CDE}"/>
    <cellStyle name="20% - Accent3 2 4 7" xfId="4399" xr:uid="{29D86D33-959E-4A3B-B7A2-D2AE18838B9C}"/>
    <cellStyle name="20% - Accent3 2 4 8" xfId="8575" xr:uid="{3666EE89-D4C6-45AB-827B-CD578C42C6B4}"/>
    <cellStyle name="20% - Accent3 2 5" xfId="476" xr:uid="{00000000-0005-0000-0000-000090000000}"/>
    <cellStyle name="20% - Accent3 2 5 2" xfId="1302" xr:uid="{1C3615A3-C31E-4248-A7FA-6555AFA65CB1}"/>
    <cellStyle name="20% - Accent3 2 5 2 2" xfId="5434" xr:uid="{9E24821B-2D6C-4DEF-A44B-8D5E9610F2DB}"/>
    <cellStyle name="20% - Accent3 2 5 3" xfId="2130" xr:uid="{F4A7FF2F-3D93-4FB4-B1C1-89E680E95A11}"/>
    <cellStyle name="20% - Accent3 2 5 3 2" xfId="6261" xr:uid="{FA2B94DF-69ED-48AC-A020-C8C30C3DD300}"/>
    <cellStyle name="20% - Accent3 2 5 4" xfId="2954" xr:uid="{0CA918A7-E0AA-495B-A551-EDCFF328A878}"/>
    <cellStyle name="20% - Accent3 2 5 4 2" xfId="7085" xr:uid="{C30266EE-3515-423C-A873-69207BB8A956}"/>
    <cellStyle name="20% - Accent3 2 5 5" xfId="3778" xr:uid="{A4CECBEF-92BA-4EA5-AE8A-890C4EC850B7}"/>
    <cellStyle name="20% - Accent3 2 5 5 2" xfId="7937" xr:uid="{1DF75D02-602D-40A8-B714-12743B60C660}"/>
    <cellStyle name="20% - Accent3 2 5 6" xfId="4608" xr:uid="{1B9649E8-A82B-4937-8C3F-9998894830EF}"/>
    <cellStyle name="20% - Accent3 2 5 7" xfId="8784" xr:uid="{077424E0-A4DF-4B49-A5F3-4F361FF60E68}"/>
    <cellStyle name="20% - Accent3 2 6" xfId="882" xr:uid="{71249369-DF12-446C-BFCB-870313DF8779}"/>
    <cellStyle name="20% - Accent3 2 6 2" xfId="5014" xr:uid="{6489C9D8-95CE-48EB-B4B3-B8D7208F174D}"/>
    <cellStyle name="20% - Accent3 2 7" xfId="1710" xr:uid="{4CA769EC-0F89-4AEE-9078-F840CD8ABE9C}"/>
    <cellStyle name="20% - Accent3 2 7 2" xfId="5841" xr:uid="{7348C914-49C9-4134-A51B-54466CDB31D3}"/>
    <cellStyle name="20% - Accent3 2 8" xfId="2534" xr:uid="{B69DC47C-D3D7-4E2A-8E4A-816CC94AC3BE}"/>
    <cellStyle name="20% - Accent3 2 8 2" xfId="6665" xr:uid="{C06EECBB-8D2C-4B71-9883-E266180673FF}"/>
    <cellStyle name="20% - Accent3 2 9" xfId="3358" xr:uid="{8DC61BEA-CF3F-4CB9-94DB-85C3FE3E014E}"/>
    <cellStyle name="20% - Accent3 2 9 2" xfId="7517" xr:uid="{E75726C2-9C9D-4A9A-9293-D0D2ED2A829C}"/>
    <cellStyle name="20% - Accent3 3" xfId="69" xr:uid="{00000000-0005-0000-0000-000091000000}"/>
    <cellStyle name="20% - Accent3 3 10" xfId="4201" xr:uid="{6A71A388-10B8-4023-BA59-D83272654D36}"/>
    <cellStyle name="20% - Accent3 3 11" xfId="8377" xr:uid="{6612076A-D857-4146-B9FC-CA9DE6F68A6D}"/>
    <cellStyle name="20% - Accent3 3 2" xfId="122" xr:uid="{00000000-0005-0000-0000-000092000000}"/>
    <cellStyle name="20% - Accent3 3 2 10" xfId="8430" xr:uid="{C7D62497-B413-4299-9514-B9C1AD62CEBD}"/>
    <cellStyle name="20% - Accent3 3 2 2" xfId="227" xr:uid="{00000000-0005-0000-0000-000093000000}"/>
    <cellStyle name="20% - Accent3 3 2 2 2" xfId="436" xr:uid="{00000000-0005-0000-0000-000094000000}"/>
    <cellStyle name="20% - Accent3 3 2 2 2 2" xfId="853" xr:uid="{00000000-0005-0000-0000-000095000000}"/>
    <cellStyle name="20% - Accent3 3 2 2 2 2 2" xfId="1679" xr:uid="{BD6D1917-5541-4F9F-8DA8-FD0E2F6D2AA4}"/>
    <cellStyle name="20% - Accent3 3 2 2 2 2 2 2" xfId="5811" xr:uid="{BF49E5EE-9C72-42D1-8460-3B9D5FCD8434}"/>
    <cellStyle name="20% - Accent3 3 2 2 2 2 3" xfId="2507" xr:uid="{AB677FC4-50D5-4342-85E1-BDE631370FF6}"/>
    <cellStyle name="20% - Accent3 3 2 2 2 2 3 2" xfId="6638" xr:uid="{F7BD8733-66AE-45F9-9B67-03B687C07216}"/>
    <cellStyle name="20% - Accent3 3 2 2 2 2 4" xfId="3331" xr:uid="{DA76A95D-1CF5-4A44-8B51-067E602A78C8}"/>
    <cellStyle name="20% - Accent3 3 2 2 2 2 4 2" xfId="7462" xr:uid="{9B527040-98BA-4A75-AE6D-2C7212AEAE4B}"/>
    <cellStyle name="20% - Accent3 3 2 2 2 2 5" xfId="4155" xr:uid="{4F18BF32-D024-4B7F-8DC6-B520BE023C20}"/>
    <cellStyle name="20% - Accent3 3 2 2 2 2 5 2" xfId="8314" xr:uid="{EC8E302C-1138-41BB-B4E5-AC16844F6CD1}"/>
    <cellStyle name="20% - Accent3 3 2 2 2 2 6" xfId="4985" xr:uid="{80687E37-F722-4E69-83F2-F5A4F849E73D}"/>
    <cellStyle name="20% - Accent3 3 2 2 2 2 7" xfId="9161" xr:uid="{500AB672-12FD-4E0D-A158-CA1D2582743E}"/>
    <cellStyle name="20% - Accent3 3 2 2 2 3" xfId="1262" xr:uid="{BF4CA54F-FC04-4EB3-8288-12004C726810}"/>
    <cellStyle name="20% - Accent3 3 2 2 2 3 2" xfId="5394" xr:uid="{CB127D24-974F-4385-9D0E-C9DC084D734E}"/>
    <cellStyle name="20% - Accent3 3 2 2 2 4" xfId="2090" xr:uid="{9D747EAB-55CE-4C0A-8C6D-EF1106F2EFE5}"/>
    <cellStyle name="20% - Accent3 3 2 2 2 4 2" xfId="6221" xr:uid="{3F6E9985-DB1E-4E14-8002-4CA23C768611}"/>
    <cellStyle name="20% - Accent3 3 2 2 2 5" xfId="2914" xr:uid="{A8EEEAFE-94AE-4384-9FF2-39D281033447}"/>
    <cellStyle name="20% - Accent3 3 2 2 2 5 2" xfId="7045" xr:uid="{BFDDF9A8-5A20-433C-ADAC-365524BD9761}"/>
    <cellStyle name="20% - Accent3 3 2 2 2 6" xfId="3738" xr:uid="{3E01A0AF-B2A0-4B30-8056-83A2CF94083B}"/>
    <cellStyle name="20% - Accent3 3 2 2 2 6 2" xfId="7897" xr:uid="{68C37B6A-8889-45F7-ACE1-72F79EA63ECA}"/>
    <cellStyle name="20% - Accent3 3 2 2 2 7" xfId="4568" xr:uid="{8F4D3D16-0D54-4A4A-A5B7-7D40983359C7}"/>
    <cellStyle name="20% - Accent3 3 2 2 2 8" xfId="8744" xr:uid="{36734F09-E00A-4A34-9726-02B11DF68987}"/>
    <cellStyle name="20% - Accent3 3 2 2 3" xfId="645" xr:uid="{00000000-0005-0000-0000-000096000000}"/>
    <cellStyle name="20% - Accent3 3 2 2 3 2" xfId="1471" xr:uid="{37F26D73-8B92-4245-9E6C-5710FD84CC04}"/>
    <cellStyle name="20% - Accent3 3 2 2 3 2 2" xfId="5603" xr:uid="{245E8BC1-22F9-428A-9CA9-6A5F44FF93DD}"/>
    <cellStyle name="20% - Accent3 3 2 2 3 3" xfId="2299" xr:uid="{72DF28D2-3116-4CA6-81F0-E46C74A5B6FE}"/>
    <cellStyle name="20% - Accent3 3 2 2 3 3 2" xfId="6430" xr:uid="{490741EF-664D-4700-BADA-3C8E362CEB21}"/>
    <cellStyle name="20% - Accent3 3 2 2 3 4" xfId="3123" xr:uid="{7C492243-3F73-483C-AE66-2FBE8A780D96}"/>
    <cellStyle name="20% - Accent3 3 2 2 3 4 2" xfId="7254" xr:uid="{6BFBCBD9-B1B1-466D-8193-42AD7123F213}"/>
    <cellStyle name="20% - Accent3 3 2 2 3 5" xfId="3947" xr:uid="{7770BEC1-3E4A-40C0-BD57-42A2D133F58D}"/>
    <cellStyle name="20% - Accent3 3 2 2 3 5 2" xfId="8106" xr:uid="{4884D519-3E51-4A4B-B9DA-229743CBE48D}"/>
    <cellStyle name="20% - Accent3 3 2 2 3 6" xfId="4777" xr:uid="{394D21C3-5F5F-4E84-86CD-E815F96812B6}"/>
    <cellStyle name="20% - Accent3 3 2 2 3 7" xfId="8953" xr:uid="{7CE80657-ADD3-4886-8590-658BF36C919B}"/>
    <cellStyle name="20% - Accent3 3 2 2 4" xfId="1053" xr:uid="{0D81EEF1-1C95-4C39-9725-D2281BCED607}"/>
    <cellStyle name="20% - Accent3 3 2 2 4 2" xfId="5185" xr:uid="{B4DEB9E3-2EF7-4E8D-94A8-654B3B52DFC3}"/>
    <cellStyle name="20% - Accent3 3 2 2 5" xfId="1881" xr:uid="{C7850491-7EA9-4EB8-9015-EE2A03CCFC42}"/>
    <cellStyle name="20% - Accent3 3 2 2 5 2" xfId="6012" xr:uid="{A0075F6B-D2E2-4C0F-9977-F6FAC394B78C}"/>
    <cellStyle name="20% - Accent3 3 2 2 6" xfId="2705" xr:uid="{4C82988E-25F6-43F2-8441-A26530472908}"/>
    <cellStyle name="20% - Accent3 3 2 2 6 2" xfId="6836" xr:uid="{1E81C457-D9E4-41D8-B221-DF3A85ADFD7B}"/>
    <cellStyle name="20% - Accent3 3 2 2 7" xfId="3529" xr:uid="{FC956922-C9D8-497A-8CA9-F28608018545}"/>
    <cellStyle name="20% - Accent3 3 2 2 7 2" xfId="7688" xr:uid="{2FED0A9F-1AF8-4816-A723-C2BC2ABB4A5F}"/>
    <cellStyle name="20% - Accent3 3 2 2 8" xfId="4359" xr:uid="{3894A3D1-C201-443E-B345-1D95BCEF50E5}"/>
    <cellStyle name="20% - Accent3 3 2 2 9" xfId="8535" xr:uid="{C3649932-1AE8-4400-A69A-4C523E24B3B9}"/>
    <cellStyle name="20% - Accent3 3 2 3" xfId="332" xr:uid="{00000000-0005-0000-0000-000097000000}"/>
    <cellStyle name="20% - Accent3 3 2 3 2" xfId="749" xr:uid="{00000000-0005-0000-0000-000098000000}"/>
    <cellStyle name="20% - Accent3 3 2 3 2 2" xfId="1575" xr:uid="{222DC539-5E61-49AD-8B82-3467F740F477}"/>
    <cellStyle name="20% - Accent3 3 2 3 2 2 2" xfId="5707" xr:uid="{64EBCE9E-0F76-4476-92F4-7A03A35CE654}"/>
    <cellStyle name="20% - Accent3 3 2 3 2 3" xfId="2403" xr:uid="{AC9BBCBB-AC45-4830-9261-28E423A37E69}"/>
    <cellStyle name="20% - Accent3 3 2 3 2 3 2" xfId="6534" xr:uid="{37217F43-7D92-4B33-A76D-791F5E184899}"/>
    <cellStyle name="20% - Accent3 3 2 3 2 4" xfId="3227" xr:uid="{18F27C58-6D34-43AE-88A9-148470BB263A}"/>
    <cellStyle name="20% - Accent3 3 2 3 2 4 2" xfId="7358" xr:uid="{1AFD4C56-D25E-4422-87E9-977C380BACB1}"/>
    <cellStyle name="20% - Accent3 3 2 3 2 5" xfId="4051" xr:uid="{15951598-9621-408E-B84C-617E931AE08D}"/>
    <cellStyle name="20% - Accent3 3 2 3 2 5 2" xfId="8210" xr:uid="{9934CBED-479D-4C9E-AFDE-EEA9595552E9}"/>
    <cellStyle name="20% - Accent3 3 2 3 2 6" xfId="4881" xr:uid="{8F56064A-EEE1-4282-8EE4-2AA54F61C7C5}"/>
    <cellStyle name="20% - Accent3 3 2 3 2 7" xfId="9057" xr:uid="{C0548E6E-7711-43DE-80FC-1238E60525E3}"/>
    <cellStyle name="20% - Accent3 3 2 3 3" xfId="1158" xr:uid="{34EC05B1-36F8-4E64-8D06-3846231D8E68}"/>
    <cellStyle name="20% - Accent3 3 2 3 3 2" xfId="5290" xr:uid="{499673C8-1335-4637-B5D6-55A92F13C10D}"/>
    <cellStyle name="20% - Accent3 3 2 3 4" xfId="1986" xr:uid="{94B70586-C016-449D-AEA8-25411005C5D3}"/>
    <cellStyle name="20% - Accent3 3 2 3 4 2" xfId="6117" xr:uid="{93D5B862-91EE-4250-BDC7-DCE895C61EC5}"/>
    <cellStyle name="20% - Accent3 3 2 3 5" xfId="2810" xr:uid="{B377CADC-9DBA-40E6-A9F7-FBC876145C5A}"/>
    <cellStyle name="20% - Accent3 3 2 3 5 2" xfId="6941" xr:uid="{38EDBE7F-3124-4E06-A7E2-B7FBB272B241}"/>
    <cellStyle name="20% - Accent3 3 2 3 6" xfId="3634" xr:uid="{557FDEAD-581E-4DC4-9F33-88FD2D642D03}"/>
    <cellStyle name="20% - Accent3 3 2 3 6 2" xfId="7793" xr:uid="{97E9A352-8D73-4EDA-B563-9B73EAA18FE3}"/>
    <cellStyle name="20% - Accent3 3 2 3 7" xfId="4464" xr:uid="{59413C80-1809-404D-A29D-E0880B9171B7}"/>
    <cellStyle name="20% - Accent3 3 2 3 8" xfId="8640" xr:uid="{7B8DD4B4-BB4C-4B68-9958-53D4D7B2677D}"/>
    <cellStyle name="20% - Accent3 3 2 4" xfId="541" xr:uid="{00000000-0005-0000-0000-000099000000}"/>
    <cellStyle name="20% - Accent3 3 2 4 2" xfId="1367" xr:uid="{4D1A23DB-BCA5-491D-BBDE-6B99860DAE13}"/>
    <cellStyle name="20% - Accent3 3 2 4 2 2" xfId="5499" xr:uid="{2737E624-F2BF-4468-9EE0-F0E451D07FF2}"/>
    <cellStyle name="20% - Accent3 3 2 4 3" xfId="2195" xr:uid="{6065C4E5-0771-41FF-8982-FCD18417F6C9}"/>
    <cellStyle name="20% - Accent3 3 2 4 3 2" xfId="6326" xr:uid="{175C6750-68EA-4200-A039-3F05DA5160D7}"/>
    <cellStyle name="20% - Accent3 3 2 4 4" xfId="3019" xr:uid="{0C4B72B6-9E0B-4169-A727-6D17138CA648}"/>
    <cellStyle name="20% - Accent3 3 2 4 4 2" xfId="7150" xr:uid="{3ECB8D88-1F77-48E0-B355-DF161FECAEDF}"/>
    <cellStyle name="20% - Accent3 3 2 4 5" xfId="3843" xr:uid="{7D0AB324-AF43-4D59-914D-001342F3D737}"/>
    <cellStyle name="20% - Accent3 3 2 4 5 2" xfId="8002" xr:uid="{D846541B-F457-411C-A438-4592C696DB60}"/>
    <cellStyle name="20% - Accent3 3 2 4 6" xfId="4673" xr:uid="{A18698A0-54A5-4438-AA65-2E32DF5B0CCE}"/>
    <cellStyle name="20% - Accent3 3 2 4 7" xfId="8849" xr:uid="{8DC55112-B23B-4773-9FE5-830155D1F290}"/>
    <cellStyle name="20% - Accent3 3 2 5" xfId="948" xr:uid="{6C73BAAA-8AEF-4688-8B1F-F05DD49F6EE5}"/>
    <cellStyle name="20% - Accent3 3 2 5 2" xfId="5080" xr:uid="{AFF47B78-B37D-42D3-B43B-40686D28A9A3}"/>
    <cellStyle name="20% - Accent3 3 2 6" xfId="1776" xr:uid="{DDADFC9B-854C-4931-841F-1D9DD930191C}"/>
    <cellStyle name="20% - Accent3 3 2 6 2" xfId="5907" xr:uid="{FEBC13B6-916A-4FE2-9DB2-B0CCE7F33CCC}"/>
    <cellStyle name="20% - Accent3 3 2 7" xfId="2600" xr:uid="{986DC1FA-43F6-465B-8D7F-529ED28BFBC8}"/>
    <cellStyle name="20% - Accent3 3 2 7 2" xfId="6731" xr:uid="{6F609262-97CC-4FF3-9CF0-FA1D30D29B09}"/>
    <cellStyle name="20% - Accent3 3 2 8" xfId="3424" xr:uid="{51FB1C26-3A30-447A-A577-33394D4CFEF7}"/>
    <cellStyle name="20% - Accent3 3 2 8 2" xfId="7583" xr:uid="{2CB27644-B6A2-4E57-8FD7-24990EECBE27}"/>
    <cellStyle name="20% - Accent3 3 2 9" xfId="4254" xr:uid="{1B56463E-CAAA-481C-9DF8-85051E941F96}"/>
    <cellStyle name="20% - Accent3 3 3" xfId="175" xr:uid="{00000000-0005-0000-0000-00009A000000}"/>
    <cellStyle name="20% - Accent3 3 3 2" xfId="384" xr:uid="{00000000-0005-0000-0000-00009B000000}"/>
    <cellStyle name="20% - Accent3 3 3 2 2" xfId="801" xr:uid="{00000000-0005-0000-0000-00009C000000}"/>
    <cellStyle name="20% - Accent3 3 3 2 2 2" xfId="1627" xr:uid="{E823898E-9591-432D-B722-E43EDB294D9B}"/>
    <cellStyle name="20% - Accent3 3 3 2 2 2 2" xfId="5759" xr:uid="{73E641E2-2FDF-407E-9BC6-0F0C7EBF4673}"/>
    <cellStyle name="20% - Accent3 3 3 2 2 3" xfId="2455" xr:uid="{FC3AA6F2-14CE-46CE-B652-0AFDFE01453B}"/>
    <cellStyle name="20% - Accent3 3 3 2 2 3 2" xfId="6586" xr:uid="{AF4D2CB2-F8C0-4C16-83E4-3CD708AC2D04}"/>
    <cellStyle name="20% - Accent3 3 3 2 2 4" xfId="3279" xr:uid="{61B647BD-E16C-42DD-BC31-9E63DEFB83BD}"/>
    <cellStyle name="20% - Accent3 3 3 2 2 4 2" xfId="7410" xr:uid="{74AAD21A-EF4C-4E6D-9418-B4A86787052D}"/>
    <cellStyle name="20% - Accent3 3 3 2 2 5" xfId="4103" xr:uid="{9DD295C3-E5F3-4C72-ABF3-B5950EEA8307}"/>
    <cellStyle name="20% - Accent3 3 3 2 2 5 2" xfId="8262" xr:uid="{31227654-A373-4723-B05E-DB2694C28A7D}"/>
    <cellStyle name="20% - Accent3 3 3 2 2 6" xfId="4933" xr:uid="{C791BC57-A2A7-434A-9443-04FC49B56634}"/>
    <cellStyle name="20% - Accent3 3 3 2 2 7" xfId="9109" xr:uid="{6061A724-76B6-433F-99EA-BBC2C519B1F2}"/>
    <cellStyle name="20% - Accent3 3 3 2 3" xfId="1210" xr:uid="{74D37B7C-141E-49CC-9318-7B45F27ABF3E}"/>
    <cellStyle name="20% - Accent3 3 3 2 3 2" xfId="5342" xr:uid="{01FDFA41-4647-4144-832E-48C5758072A1}"/>
    <cellStyle name="20% - Accent3 3 3 2 4" xfId="2038" xr:uid="{A38C7668-49A1-4908-9714-332A35C1E90A}"/>
    <cellStyle name="20% - Accent3 3 3 2 4 2" xfId="6169" xr:uid="{7E1BEB89-DC25-4A77-998D-0B384E0F4F67}"/>
    <cellStyle name="20% - Accent3 3 3 2 5" xfId="2862" xr:uid="{1857ED03-144C-49E0-BBD4-DF9FCFF22955}"/>
    <cellStyle name="20% - Accent3 3 3 2 5 2" xfId="6993" xr:uid="{9D53CB3F-535A-4C7E-871E-08E4D041DFA6}"/>
    <cellStyle name="20% - Accent3 3 3 2 6" xfId="3686" xr:uid="{E26E4331-3EB2-4AAB-93EE-BB8003F7823C}"/>
    <cellStyle name="20% - Accent3 3 3 2 6 2" xfId="7845" xr:uid="{065F4DF3-A06C-48D4-99CB-4CEA9335DE8C}"/>
    <cellStyle name="20% - Accent3 3 3 2 7" xfId="4516" xr:uid="{F342FDAC-558F-4E60-847B-B7F2B58B938C}"/>
    <cellStyle name="20% - Accent3 3 3 2 8" xfId="8692" xr:uid="{368621D2-9C20-435F-9365-5813F58B1496}"/>
    <cellStyle name="20% - Accent3 3 3 3" xfId="593" xr:uid="{00000000-0005-0000-0000-00009D000000}"/>
    <cellStyle name="20% - Accent3 3 3 3 2" xfId="1419" xr:uid="{73515A84-47DA-418D-BCBA-BA8919A8AB8C}"/>
    <cellStyle name="20% - Accent3 3 3 3 2 2" xfId="5551" xr:uid="{234FD183-2065-4CA5-9193-664E6E0FA8E6}"/>
    <cellStyle name="20% - Accent3 3 3 3 3" xfId="2247" xr:uid="{B10CA0A9-0B6E-469B-83DF-F689E198C67B}"/>
    <cellStyle name="20% - Accent3 3 3 3 3 2" xfId="6378" xr:uid="{D5692ECA-60F6-47E9-8802-7F1241500196}"/>
    <cellStyle name="20% - Accent3 3 3 3 4" xfId="3071" xr:uid="{F516BE8A-320B-418E-9BAF-61C2216EB2E5}"/>
    <cellStyle name="20% - Accent3 3 3 3 4 2" xfId="7202" xr:uid="{738A056C-468B-48F0-A923-C9570B74AA34}"/>
    <cellStyle name="20% - Accent3 3 3 3 5" xfId="3895" xr:uid="{A10B2B0A-04D5-49AA-B801-7A598646738B}"/>
    <cellStyle name="20% - Accent3 3 3 3 5 2" xfId="8054" xr:uid="{6593ABF4-DDF7-4BCD-B373-288391BC68E2}"/>
    <cellStyle name="20% - Accent3 3 3 3 6" xfId="4725" xr:uid="{356E1000-43E6-400D-AD3C-D24703EAB657}"/>
    <cellStyle name="20% - Accent3 3 3 3 7" xfId="8901" xr:uid="{09A3E59A-A63E-430A-A99A-90E7AEEE5676}"/>
    <cellStyle name="20% - Accent3 3 3 4" xfId="1001" xr:uid="{D607464C-C70A-4A93-B577-3AEE7C786730}"/>
    <cellStyle name="20% - Accent3 3 3 4 2" xfId="5133" xr:uid="{FE49B288-26A6-4279-903E-F63826DE48CE}"/>
    <cellStyle name="20% - Accent3 3 3 5" xfId="1829" xr:uid="{87CBB9B1-4856-44EB-BF26-7B7E7DA0D1D5}"/>
    <cellStyle name="20% - Accent3 3 3 5 2" xfId="5960" xr:uid="{7EB9B9AD-2EE9-498E-8CFB-3FF1CC323D0F}"/>
    <cellStyle name="20% - Accent3 3 3 6" xfId="2653" xr:uid="{641001BE-6B93-4B2F-84A0-ECB2E2081997}"/>
    <cellStyle name="20% - Accent3 3 3 6 2" xfId="6784" xr:uid="{3B8203EA-53D4-4A2E-B863-7503FC331390}"/>
    <cellStyle name="20% - Accent3 3 3 7" xfId="3477" xr:uid="{76C6879D-F2D4-4532-8B33-5EA300876526}"/>
    <cellStyle name="20% - Accent3 3 3 7 2" xfId="7636" xr:uid="{75BC1A7A-557C-4027-9BD1-A8733C48CEF2}"/>
    <cellStyle name="20% - Accent3 3 3 8" xfId="4307" xr:uid="{A1FBA7CF-C025-4938-B942-D6FE97B79CFA}"/>
    <cellStyle name="20% - Accent3 3 3 9" xfId="8483" xr:uid="{22DCF4B6-5FEE-4CB1-85AE-6F1ABA04F5AF}"/>
    <cellStyle name="20% - Accent3 3 4" xfId="280" xr:uid="{00000000-0005-0000-0000-00009E000000}"/>
    <cellStyle name="20% - Accent3 3 4 2" xfId="697" xr:uid="{00000000-0005-0000-0000-00009F000000}"/>
    <cellStyle name="20% - Accent3 3 4 2 2" xfId="1523" xr:uid="{08F81474-E81E-4760-9CC5-858FE9352542}"/>
    <cellStyle name="20% - Accent3 3 4 2 2 2" xfId="5655" xr:uid="{E6D25189-8CA7-47E1-B18B-D23B5BE65E5A}"/>
    <cellStyle name="20% - Accent3 3 4 2 3" xfId="2351" xr:uid="{7A72A2FC-AFEB-49B8-9ABA-3FB27459DBFE}"/>
    <cellStyle name="20% - Accent3 3 4 2 3 2" xfId="6482" xr:uid="{9F93686C-EBE3-40CF-B1D4-CA4AC5DE7D4F}"/>
    <cellStyle name="20% - Accent3 3 4 2 4" xfId="3175" xr:uid="{E7CD4A0A-F8CA-4066-BAFF-46554B7AF266}"/>
    <cellStyle name="20% - Accent3 3 4 2 4 2" xfId="7306" xr:uid="{74F2AC4E-4907-4459-887D-0C455E1C0210}"/>
    <cellStyle name="20% - Accent3 3 4 2 5" xfId="3999" xr:uid="{69CAA5E4-5D88-4162-BAEB-3A69C19D92C6}"/>
    <cellStyle name="20% - Accent3 3 4 2 5 2" xfId="8158" xr:uid="{ACF51526-1995-4C7D-A414-3F75E6330C79}"/>
    <cellStyle name="20% - Accent3 3 4 2 6" xfId="4829" xr:uid="{0AAD5B73-EDEA-4CD3-8FC1-293C7362280C}"/>
    <cellStyle name="20% - Accent3 3 4 2 7" xfId="9005" xr:uid="{2589AD81-0090-4C01-B241-B5318805A23C}"/>
    <cellStyle name="20% - Accent3 3 4 3" xfId="1106" xr:uid="{EB902901-2D82-4406-B6EB-F56A0F4C3E85}"/>
    <cellStyle name="20% - Accent3 3 4 3 2" xfId="5238" xr:uid="{55F27636-4E60-4628-ABD9-A0E1F33CA778}"/>
    <cellStyle name="20% - Accent3 3 4 4" xfId="1934" xr:uid="{C6BE79E3-FADB-4243-A5A9-CC41537CA44E}"/>
    <cellStyle name="20% - Accent3 3 4 4 2" xfId="6065" xr:uid="{4F58CABA-65B4-4ECD-844B-760D203184B8}"/>
    <cellStyle name="20% - Accent3 3 4 5" xfId="2758" xr:uid="{522D015D-0A3B-401A-BE71-6FE01B718732}"/>
    <cellStyle name="20% - Accent3 3 4 5 2" xfId="6889" xr:uid="{C5C86C0E-534B-4B16-87C6-7178C676766E}"/>
    <cellStyle name="20% - Accent3 3 4 6" xfId="3582" xr:uid="{E55B1C05-3D17-4221-A28C-B7949CA2A71A}"/>
    <cellStyle name="20% - Accent3 3 4 6 2" xfId="7741" xr:uid="{1F7FC869-16D8-4A8B-BE1E-85255EF13526}"/>
    <cellStyle name="20% - Accent3 3 4 7" xfId="4412" xr:uid="{06A0DBDF-62BE-4D6C-9EE3-7E417F2175DA}"/>
    <cellStyle name="20% - Accent3 3 4 8" xfId="8588" xr:uid="{6E755480-70C6-4476-B9A5-619EA600F049}"/>
    <cellStyle name="20% - Accent3 3 5" xfId="489" xr:uid="{00000000-0005-0000-0000-0000A0000000}"/>
    <cellStyle name="20% - Accent3 3 5 2" xfId="1315" xr:uid="{415B8B57-07F1-46EF-B377-1C13E032388A}"/>
    <cellStyle name="20% - Accent3 3 5 2 2" xfId="5447" xr:uid="{D322019E-0833-4180-8A69-6B28BF5BAD3A}"/>
    <cellStyle name="20% - Accent3 3 5 3" xfId="2143" xr:uid="{37F62CDB-38F9-4418-ACA8-48BC72086D53}"/>
    <cellStyle name="20% - Accent3 3 5 3 2" xfId="6274" xr:uid="{89433C5D-D38C-4E06-8DC2-E0B7A9F2259E}"/>
    <cellStyle name="20% - Accent3 3 5 4" xfId="2967" xr:uid="{445E71B2-E657-4C05-AAF3-B2560CBEF5E6}"/>
    <cellStyle name="20% - Accent3 3 5 4 2" xfId="7098" xr:uid="{4D101B0A-2C27-475C-84D5-B8D129D7CE2E}"/>
    <cellStyle name="20% - Accent3 3 5 5" xfId="3791" xr:uid="{F0C1B3E7-5071-4726-88DA-FC2898E7DAAB}"/>
    <cellStyle name="20% - Accent3 3 5 5 2" xfId="7950" xr:uid="{F0CFA69C-04B6-4C2C-9DBE-3D1796A195E6}"/>
    <cellStyle name="20% - Accent3 3 5 6" xfId="4621" xr:uid="{96799A28-5196-466E-AB93-FA2A9830CD9A}"/>
    <cellStyle name="20% - Accent3 3 5 7" xfId="8797" xr:uid="{FD1CF435-FA1C-4255-8C96-A707755256C0}"/>
    <cellStyle name="20% - Accent3 3 6" xfId="895" xr:uid="{016A0F80-1DF8-48D6-8BBF-C2F3EAF7A19F}"/>
    <cellStyle name="20% - Accent3 3 6 2" xfId="5027" xr:uid="{0C6E1108-5581-4862-8ACA-4FC155D6827B}"/>
    <cellStyle name="20% - Accent3 3 7" xfId="1723" xr:uid="{B339EC12-9039-4C75-9B57-493890F90587}"/>
    <cellStyle name="20% - Accent3 3 7 2" xfId="5854" xr:uid="{65C4E683-843D-4401-92FB-50AEEFF42B45}"/>
    <cellStyle name="20% - Accent3 3 8" xfId="2547" xr:uid="{4C8FBED9-AFC4-4867-83FE-C747DE92B45E}"/>
    <cellStyle name="20% - Accent3 3 8 2" xfId="6678" xr:uid="{2373A8A5-7A3C-4489-BF31-32C3B06CCBB9}"/>
    <cellStyle name="20% - Accent3 3 9" xfId="3371" xr:uid="{CA900156-7F02-4E57-8ED7-3ADDFA404139}"/>
    <cellStyle name="20% - Accent3 3 9 2" xfId="7530" xr:uid="{B29F0A98-7921-432D-B8ED-32D93B2F0DD9}"/>
    <cellStyle name="20% - Accent3 4" xfId="82" xr:uid="{00000000-0005-0000-0000-0000A1000000}"/>
    <cellStyle name="20% - Accent3 4 10" xfId="8390" xr:uid="{ADC7DF77-1629-4C25-A115-95FAC5FFB7A2}"/>
    <cellStyle name="20% - Accent3 4 2" xfId="188" xr:uid="{00000000-0005-0000-0000-0000A2000000}"/>
    <cellStyle name="20% - Accent3 4 2 2" xfId="397" xr:uid="{00000000-0005-0000-0000-0000A3000000}"/>
    <cellStyle name="20% - Accent3 4 2 2 2" xfId="814" xr:uid="{00000000-0005-0000-0000-0000A4000000}"/>
    <cellStyle name="20% - Accent3 4 2 2 2 2" xfId="1640" xr:uid="{36914A6E-0E9A-46DE-9EDC-1C218BEA2DCB}"/>
    <cellStyle name="20% - Accent3 4 2 2 2 2 2" xfId="5772" xr:uid="{DE7532B0-AF9D-45C0-9ACA-0D2514E22189}"/>
    <cellStyle name="20% - Accent3 4 2 2 2 3" xfId="2468" xr:uid="{2B1389B1-C3DC-489D-A6BB-632AA7BB884D}"/>
    <cellStyle name="20% - Accent3 4 2 2 2 3 2" xfId="6599" xr:uid="{B1FA10D0-DB60-4462-9A00-CB0566C05C47}"/>
    <cellStyle name="20% - Accent3 4 2 2 2 4" xfId="3292" xr:uid="{C7B3BBBF-634A-4D75-9633-96C24A051761}"/>
    <cellStyle name="20% - Accent3 4 2 2 2 4 2" xfId="7423" xr:uid="{CA789844-F418-4500-9EF0-3EB9F6217066}"/>
    <cellStyle name="20% - Accent3 4 2 2 2 5" xfId="4116" xr:uid="{483D7928-6C77-4304-8995-A6B0A71710CE}"/>
    <cellStyle name="20% - Accent3 4 2 2 2 5 2" xfId="8275" xr:uid="{33168933-40E5-4112-9872-AB44B8D91D58}"/>
    <cellStyle name="20% - Accent3 4 2 2 2 6" xfId="4946" xr:uid="{C9CB2B05-31EB-488D-ADF9-345163E1139A}"/>
    <cellStyle name="20% - Accent3 4 2 2 2 7" xfId="9122" xr:uid="{CEF18539-A61A-4AA0-9E26-E9CDB2597913}"/>
    <cellStyle name="20% - Accent3 4 2 2 3" xfId="1223" xr:uid="{1670D932-4A02-490A-B48D-1F2B66AC82FC}"/>
    <cellStyle name="20% - Accent3 4 2 2 3 2" xfId="5355" xr:uid="{67C65D99-750C-4D69-AFBB-484429253A33}"/>
    <cellStyle name="20% - Accent3 4 2 2 4" xfId="2051" xr:uid="{46DF2C24-73C7-4952-BA2C-698AB476EB48}"/>
    <cellStyle name="20% - Accent3 4 2 2 4 2" xfId="6182" xr:uid="{E5D788A1-FDB4-4CE1-8EBE-2C5EAADC1D79}"/>
    <cellStyle name="20% - Accent3 4 2 2 5" xfId="2875" xr:uid="{DC67383F-D61D-4D18-843D-79B0A1D35161}"/>
    <cellStyle name="20% - Accent3 4 2 2 5 2" xfId="7006" xr:uid="{B605A657-FE0B-4DD4-8697-6F71E265FD71}"/>
    <cellStyle name="20% - Accent3 4 2 2 6" xfId="3699" xr:uid="{93CC182A-29F4-4ECA-AE9C-67614F8B5E0B}"/>
    <cellStyle name="20% - Accent3 4 2 2 6 2" xfId="7858" xr:uid="{BCB0D722-6A23-41E8-93EE-1DF8248C841F}"/>
    <cellStyle name="20% - Accent3 4 2 2 7" xfId="4529" xr:uid="{0D44FEE5-219B-40B7-A7B1-65E1FF798CDB}"/>
    <cellStyle name="20% - Accent3 4 2 2 8" xfId="8705" xr:uid="{9E56EE94-BE8E-4A28-BB3C-B309CD07B7B3}"/>
    <cellStyle name="20% - Accent3 4 2 3" xfId="606" xr:uid="{00000000-0005-0000-0000-0000A5000000}"/>
    <cellStyle name="20% - Accent3 4 2 3 2" xfId="1432" xr:uid="{E6021DBF-11B5-48E6-A2E4-0B15AA15E948}"/>
    <cellStyle name="20% - Accent3 4 2 3 2 2" xfId="5564" xr:uid="{01699DF7-B736-4101-A6E4-5589D170BA78}"/>
    <cellStyle name="20% - Accent3 4 2 3 3" xfId="2260" xr:uid="{A0FA3E30-2FF4-4361-90B2-5B80D922996F}"/>
    <cellStyle name="20% - Accent3 4 2 3 3 2" xfId="6391" xr:uid="{4EB8BF9B-BFA1-46FA-9785-605536F034EB}"/>
    <cellStyle name="20% - Accent3 4 2 3 4" xfId="3084" xr:uid="{A3AB6CA9-91E5-4F80-904A-A1680530F215}"/>
    <cellStyle name="20% - Accent3 4 2 3 4 2" xfId="7215" xr:uid="{5ADB879C-8ABC-46E1-B100-38100CBEE07D}"/>
    <cellStyle name="20% - Accent3 4 2 3 5" xfId="3908" xr:uid="{92CE8A48-5FAC-4BBD-87D8-193F5920F9BA}"/>
    <cellStyle name="20% - Accent3 4 2 3 5 2" xfId="8067" xr:uid="{DEAD0DF1-B39A-4009-9DDC-41E49ECA2BAE}"/>
    <cellStyle name="20% - Accent3 4 2 3 6" xfId="4738" xr:uid="{E80A5CF5-6A3E-4ECF-96E3-62E2E719F11E}"/>
    <cellStyle name="20% - Accent3 4 2 3 7" xfId="8914" xr:uid="{EF91094A-F831-4A4E-B94A-D136F609DA27}"/>
    <cellStyle name="20% - Accent3 4 2 4" xfId="1014" xr:uid="{CD5E57E0-9F4C-459E-B1BD-9599857322D1}"/>
    <cellStyle name="20% - Accent3 4 2 4 2" xfId="5146" xr:uid="{64B2D8B9-2B4A-4028-82D4-27508AF7F627}"/>
    <cellStyle name="20% - Accent3 4 2 5" xfId="1842" xr:uid="{1D4BA3F7-E11F-461A-96CD-30E27CDFB992}"/>
    <cellStyle name="20% - Accent3 4 2 5 2" xfId="5973" xr:uid="{89D8463B-0E2B-40D3-9184-FC958D302AC9}"/>
    <cellStyle name="20% - Accent3 4 2 6" xfId="2666" xr:uid="{5A85A302-21FF-4F7B-8074-B7DED8FF561B}"/>
    <cellStyle name="20% - Accent3 4 2 6 2" xfId="6797" xr:uid="{070F961D-B6BB-41F0-BB77-235F59241B3D}"/>
    <cellStyle name="20% - Accent3 4 2 7" xfId="3490" xr:uid="{75CEA541-562B-46E7-945E-1D0DD51E3EBF}"/>
    <cellStyle name="20% - Accent3 4 2 7 2" xfId="7649" xr:uid="{D0D38812-DB1F-455B-833A-B297C0E8E582}"/>
    <cellStyle name="20% - Accent3 4 2 8" xfId="4320" xr:uid="{70104D73-41DF-47B0-836B-134CAD74ADBB}"/>
    <cellStyle name="20% - Accent3 4 2 9" xfId="8496" xr:uid="{34EA6D3A-FA96-4535-9F3B-4B54C7783108}"/>
    <cellStyle name="20% - Accent3 4 3" xfId="293" xr:uid="{00000000-0005-0000-0000-0000A6000000}"/>
    <cellStyle name="20% - Accent3 4 3 2" xfId="710" xr:uid="{00000000-0005-0000-0000-0000A7000000}"/>
    <cellStyle name="20% - Accent3 4 3 2 2" xfId="1536" xr:uid="{98759298-F296-4179-8500-A6338B4EC3ED}"/>
    <cellStyle name="20% - Accent3 4 3 2 2 2" xfId="5668" xr:uid="{1C83A20F-9AC5-4933-8FCF-6A18C9235C8D}"/>
    <cellStyle name="20% - Accent3 4 3 2 3" xfId="2364" xr:uid="{C5E8B60B-8A63-4D5F-8E81-66C02EAD6C71}"/>
    <cellStyle name="20% - Accent3 4 3 2 3 2" xfId="6495" xr:uid="{0703EF13-C41A-47A6-8384-1E64B473DDA9}"/>
    <cellStyle name="20% - Accent3 4 3 2 4" xfId="3188" xr:uid="{D6DD2A40-DD77-47BD-8963-07B17D61FB62}"/>
    <cellStyle name="20% - Accent3 4 3 2 4 2" xfId="7319" xr:uid="{C0B97F4A-135A-4BA2-98B3-760E9EE92FD5}"/>
    <cellStyle name="20% - Accent3 4 3 2 5" xfId="4012" xr:uid="{0963722D-7BA0-4CA3-AD1A-85611715A4F9}"/>
    <cellStyle name="20% - Accent3 4 3 2 5 2" xfId="8171" xr:uid="{D2245F98-E4DB-480D-A266-F03147AFBDD1}"/>
    <cellStyle name="20% - Accent3 4 3 2 6" xfId="4842" xr:uid="{42DF3BC3-C618-43C7-B53F-6E2757496B7C}"/>
    <cellStyle name="20% - Accent3 4 3 2 7" xfId="9018" xr:uid="{476566AB-0B4F-4A82-927A-AF484C392493}"/>
    <cellStyle name="20% - Accent3 4 3 3" xfId="1119" xr:uid="{B5530966-8A3F-4D9F-B028-FA8D4A4F0F88}"/>
    <cellStyle name="20% - Accent3 4 3 3 2" xfId="5251" xr:uid="{82994F47-D65B-4ED0-BD07-6D5BA135058B}"/>
    <cellStyle name="20% - Accent3 4 3 4" xfId="1947" xr:uid="{55A84DD8-E31B-44CC-BFFF-232ADC60E95F}"/>
    <cellStyle name="20% - Accent3 4 3 4 2" xfId="6078" xr:uid="{63F68449-873B-4632-AF67-CB93A6E1A369}"/>
    <cellStyle name="20% - Accent3 4 3 5" xfId="2771" xr:uid="{D68106C5-8E7D-4701-9557-98E3FC5AB928}"/>
    <cellStyle name="20% - Accent3 4 3 5 2" xfId="6902" xr:uid="{49E452C1-2422-4C09-BF17-567ECA726812}"/>
    <cellStyle name="20% - Accent3 4 3 6" xfId="3595" xr:uid="{0AED7F21-3435-441E-9147-45905AAA49E6}"/>
    <cellStyle name="20% - Accent3 4 3 6 2" xfId="7754" xr:uid="{C06879CC-1AD2-4D7C-BECE-3EB6F20B69FE}"/>
    <cellStyle name="20% - Accent3 4 3 7" xfId="4425" xr:uid="{769987E2-D6DF-4CB3-8B35-71E44642DDE5}"/>
    <cellStyle name="20% - Accent3 4 3 8" xfId="8601" xr:uid="{1A33E5E9-8DC7-4F4F-BC80-4C43B12A5483}"/>
    <cellStyle name="20% - Accent3 4 4" xfId="502" xr:uid="{00000000-0005-0000-0000-0000A8000000}"/>
    <cellStyle name="20% - Accent3 4 4 2" xfId="1328" xr:uid="{A45F6818-C3C6-49B8-9077-3ABD74F98D30}"/>
    <cellStyle name="20% - Accent3 4 4 2 2" xfId="5460" xr:uid="{FB6AD182-0808-408F-80C1-BF595CCF0CBF}"/>
    <cellStyle name="20% - Accent3 4 4 3" xfId="2156" xr:uid="{0CDB76E8-AB7D-49AB-8FA3-3410A4D7F62C}"/>
    <cellStyle name="20% - Accent3 4 4 3 2" xfId="6287" xr:uid="{20028D94-7886-41AB-8F03-B5FB3B53E615}"/>
    <cellStyle name="20% - Accent3 4 4 4" xfId="2980" xr:uid="{30B3CEB8-AD18-405D-8550-68A071633E35}"/>
    <cellStyle name="20% - Accent3 4 4 4 2" xfId="7111" xr:uid="{7FF4030E-E2E1-4340-B92B-FAA05CE86F98}"/>
    <cellStyle name="20% - Accent3 4 4 5" xfId="3804" xr:uid="{07DADA95-3203-40E5-B4EB-6AEE38D393B8}"/>
    <cellStyle name="20% - Accent3 4 4 5 2" xfId="7963" xr:uid="{0E18B801-6370-4B38-BC5F-5FAF801BE563}"/>
    <cellStyle name="20% - Accent3 4 4 6" xfId="4634" xr:uid="{7107B620-33EC-4E85-93E9-55AF42CBE1EE}"/>
    <cellStyle name="20% - Accent3 4 4 7" xfId="8810" xr:uid="{A0FE147B-205C-43F7-B800-941B300E2A70}"/>
    <cellStyle name="20% - Accent3 4 5" xfId="908" xr:uid="{E93C9163-ADAD-4874-8AEA-C258BAE1404D}"/>
    <cellStyle name="20% - Accent3 4 5 2" xfId="5040" xr:uid="{CF973C86-8EC0-4169-B7F2-3E5C6173D260}"/>
    <cellStyle name="20% - Accent3 4 6" xfId="1736" xr:uid="{311A94B3-C153-4D29-B6FB-CA85A275272D}"/>
    <cellStyle name="20% - Accent3 4 6 2" xfId="5867" xr:uid="{FA3358D5-6B0C-4939-B676-7337F1388BBE}"/>
    <cellStyle name="20% - Accent3 4 7" xfId="2560" xr:uid="{4BEE2893-6A93-424A-B6B6-AE1AB5E4B345}"/>
    <cellStyle name="20% - Accent3 4 7 2" xfId="6691" xr:uid="{8EC542A2-9251-4F1F-B06C-415FD1FCFBC3}"/>
    <cellStyle name="20% - Accent3 4 8" xfId="3384" xr:uid="{E06BE8A7-CD64-45AE-9840-CA10F5D12816}"/>
    <cellStyle name="20% - Accent3 4 8 2" xfId="7543" xr:uid="{8B0DC13D-E70E-48A7-8FF7-8A87A5722164}"/>
    <cellStyle name="20% - Accent3 4 9" xfId="4214" xr:uid="{BBC67077-9255-46AE-9A37-E15085638A42}"/>
    <cellStyle name="20% - Accent3 5" xfId="95" xr:uid="{00000000-0005-0000-0000-0000A9000000}"/>
    <cellStyle name="20% - Accent3 5 10" xfId="8403" xr:uid="{A553277F-6CFE-4BA2-9CEA-04EDD2ADC610}"/>
    <cellStyle name="20% - Accent3 5 2" xfId="200" xr:uid="{00000000-0005-0000-0000-0000AA000000}"/>
    <cellStyle name="20% - Accent3 5 2 2" xfId="409" xr:uid="{00000000-0005-0000-0000-0000AB000000}"/>
    <cellStyle name="20% - Accent3 5 2 2 2" xfId="826" xr:uid="{00000000-0005-0000-0000-0000AC000000}"/>
    <cellStyle name="20% - Accent3 5 2 2 2 2" xfId="1652" xr:uid="{A20512C4-4094-4211-8B16-7E59D38B77F7}"/>
    <cellStyle name="20% - Accent3 5 2 2 2 2 2" xfId="5784" xr:uid="{10B510FC-45DB-4480-AAE0-5F6A4ADDF98D}"/>
    <cellStyle name="20% - Accent3 5 2 2 2 3" xfId="2480" xr:uid="{EB78F87E-0925-437B-A6C1-CA421CEC65E1}"/>
    <cellStyle name="20% - Accent3 5 2 2 2 3 2" xfId="6611" xr:uid="{30B475F0-F290-46BD-B2C0-97B925180665}"/>
    <cellStyle name="20% - Accent3 5 2 2 2 4" xfId="3304" xr:uid="{F6A20FAE-8CFD-4436-A83F-5FE017072969}"/>
    <cellStyle name="20% - Accent3 5 2 2 2 4 2" xfId="7435" xr:uid="{20B8D1A1-CBA6-4495-9333-9815A9AB9F6C}"/>
    <cellStyle name="20% - Accent3 5 2 2 2 5" xfId="4128" xr:uid="{2B08B958-43FF-4625-A8A6-517CE7E22AB3}"/>
    <cellStyle name="20% - Accent3 5 2 2 2 5 2" xfId="8287" xr:uid="{73A359F0-EDFC-4885-8350-D1C95070CB42}"/>
    <cellStyle name="20% - Accent3 5 2 2 2 6" xfId="4958" xr:uid="{F3C83A56-1F0C-41B1-A6DB-7C204C3E941B}"/>
    <cellStyle name="20% - Accent3 5 2 2 2 7" xfId="9134" xr:uid="{A3778BA5-74EB-45E5-A82A-8FD35A0343F4}"/>
    <cellStyle name="20% - Accent3 5 2 2 3" xfId="1235" xr:uid="{FCAC7E36-F402-4184-8ABD-D3008C90177E}"/>
    <cellStyle name="20% - Accent3 5 2 2 3 2" xfId="5367" xr:uid="{592CE1CA-2976-40E8-A4EC-77104D8115C1}"/>
    <cellStyle name="20% - Accent3 5 2 2 4" xfId="2063" xr:uid="{DA18E112-09B6-430B-9E00-9E493BFFA8C9}"/>
    <cellStyle name="20% - Accent3 5 2 2 4 2" xfId="6194" xr:uid="{322F8DF3-97F7-41AD-B52F-B2A9785C9224}"/>
    <cellStyle name="20% - Accent3 5 2 2 5" xfId="2887" xr:uid="{C4EEA510-BF55-4E90-B187-A116FFEBCA5D}"/>
    <cellStyle name="20% - Accent3 5 2 2 5 2" xfId="7018" xr:uid="{B5AF069F-E4FB-4748-AC63-4EF462D947C3}"/>
    <cellStyle name="20% - Accent3 5 2 2 6" xfId="3711" xr:uid="{8DF3B0D7-FCA7-40DF-B6EC-FE60ED1551B7}"/>
    <cellStyle name="20% - Accent3 5 2 2 6 2" xfId="7870" xr:uid="{A5BBC969-D72C-4DF7-8090-CC2464045BEE}"/>
    <cellStyle name="20% - Accent3 5 2 2 7" xfId="4541" xr:uid="{35630A2F-99FE-4CCB-8D34-2C1D38FE5185}"/>
    <cellStyle name="20% - Accent3 5 2 2 8" xfId="8717" xr:uid="{F73DF1DB-B269-482C-A3B5-4E6C3AA06CD6}"/>
    <cellStyle name="20% - Accent3 5 2 3" xfId="618" xr:uid="{00000000-0005-0000-0000-0000AD000000}"/>
    <cellStyle name="20% - Accent3 5 2 3 2" xfId="1444" xr:uid="{25FCF22F-1D60-481F-B88E-5AE61ABAEF2E}"/>
    <cellStyle name="20% - Accent3 5 2 3 2 2" xfId="5576" xr:uid="{B2501F34-E2DB-4295-9D8A-94721795CB6E}"/>
    <cellStyle name="20% - Accent3 5 2 3 3" xfId="2272" xr:uid="{1F0CCD4B-74FF-4F52-A555-5726A95F6715}"/>
    <cellStyle name="20% - Accent3 5 2 3 3 2" xfId="6403" xr:uid="{31AAEA84-EDC7-463C-A341-F32CFF96B36E}"/>
    <cellStyle name="20% - Accent3 5 2 3 4" xfId="3096" xr:uid="{DA762AEF-8849-4C4F-A7D9-50745A7CF4F7}"/>
    <cellStyle name="20% - Accent3 5 2 3 4 2" xfId="7227" xr:uid="{71A0C7FD-6AF9-4CB1-8B1C-9B393A1932DF}"/>
    <cellStyle name="20% - Accent3 5 2 3 5" xfId="3920" xr:uid="{107B36C4-6843-4C5D-A01F-FD32D54F0BAD}"/>
    <cellStyle name="20% - Accent3 5 2 3 5 2" xfId="8079" xr:uid="{C30FFE4D-41A0-4A7B-942E-70D3C4DEF32F}"/>
    <cellStyle name="20% - Accent3 5 2 3 6" xfId="4750" xr:uid="{34A10E93-A795-4C1A-AA2E-139EF4DF2DBA}"/>
    <cellStyle name="20% - Accent3 5 2 3 7" xfId="8926" xr:uid="{5D135119-EBE7-4581-9690-AABA7DA12225}"/>
    <cellStyle name="20% - Accent3 5 2 4" xfId="1026" xr:uid="{45DAFD39-7157-491D-8895-58462B63A506}"/>
    <cellStyle name="20% - Accent3 5 2 4 2" xfId="5158" xr:uid="{905CA9BB-152D-4401-84CB-51B68753A499}"/>
    <cellStyle name="20% - Accent3 5 2 5" xfId="1854" xr:uid="{CB6165E0-8F5F-44CF-8796-0A224EA74BBE}"/>
    <cellStyle name="20% - Accent3 5 2 5 2" xfId="5985" xr:uid="{6FAD1301-56B9-4F33-88B1-5C60845E621D}"/>
    <cellStyle name="20% - Accent3 5 2 6" xfId="2678" xr:uid="{785265E7-5705-46DA-BB77-75CBDDEE84D1}"/>
    <cellStyle name="20% - Accent3 5 2 6 2" xfId="6809" xr:uid="{B2F0C4B2-91F7-4F1B-82EC-AA405DA760BA}"/>
    <cellStyle name="20% - Accent3 5 2 7" xfId="3502" xr:uid="{75579FDA-CC16-4AC2-B92B-97DE62108B06}"/>
    <cellStyle name="20% - Accent3 5 2 7 2" xfId="7661" xr:uid="{B7B18C24-3EF8-49F5-895D-B1DA0FD58F7E}"/>
    <cellStyle name="20% - Accent3 5 2 8" xfId="4332" xr:uid="{9D2594D5-C119-44C3-87E0-A82A597DD6FE}"/>
    <cellStyle name="20% - Accent3 5 2 9" xfId="8508" xr:uid="{C0FEEA6D-5764-434F-BB30-89993860CC52}"/>
    <cellStyle name="20% - Accent3 5 3" xfId="305" xr:uid="{00000000-0005-0000-0000-0000AE000000}"/>
    <cellStyle name="20% - Accent3 5 3 2" xfId="722" xr:uid="{00000000-0005-0000-0000-0000AF000000}"/>
    <cellStyle name="20% - Accent3 5 3 2 2" xfId="1548" xr:uid="{0187C723-1C76-4CFD-AEA6-5EF31BF48829}"/>
    <cellStyle name="20% - Accent3 5 3 2 2 2" xfId="5680" xr:uid="{4E754835-A5E3-49EF-AB5B-DF12168BF5EE}"/>
    <cellStyle name="20% - Accent3 5 3 2 3" xfId="2376" xr:uid="{8D4BB268-7254-47F9-8B0B-EF994B144F00}"/>
    <cellStyle name="20% - Accent3 5 3 2 3 2" xfId="6507" xr:uid="{CFF49741-37B9-4024-A2DF-5B716C76F0EB}"/>
    <cellStyle name="20% - Accent3 5 3 2 4" xfId="3200" xr:uid="{4A9D988D-B0FE-4559-A922-4FE95EDBB025}"/>
    <cellStyle name="20% - Accent3 5 3 2 4 2" xfId="7331" xr:uid="{1F636D84-CCE0-499C-AE15-E1B590C5FEB0}"/>
    <cellStyle name="20% - Accent3 5 3 2 5" xfId="4024" xr:uid="{2724D942-844F-4173-B247-69B33F029291}"/>
    <cellStyle name="20% - Accent3 5 3 2 5 2" xfId="8183" xr:uid="{D401BBA4-9A7A-4C5E-94BD-DC7723782013}"/>
    <cellStyle name="20% - Accent3 5 3 2 6" xfId="4854" xr:uid="{17F79AAE-9A66-45DD-9458-3A7773268BCD}"/>
    <cellStyle name="20% - Accent3 5 3 2 7" xfId="9030" xr:uid="{FDE223D6-79CF-4D6E-9310-5BA6290A9953}"/>
    <cellStyle name="20% - Accent3 5 3 3" xfId="1131" xr:uid="{35720790-268F-4FDC-807E-4A6D27AE9780}"/>
    <cellStyle name="20% - Accent3 5 3 3 2" xfId="5263" xr:uid="{B5744618-A6BB-413B-A5A7-F1870D917D1F}"/>
    <cellStyle name="20% - Accent3 5 3 4" xfId="1959" xr:uid="{E69A4492-F8D7-41F3-A1F4-2C7203770E03}"/>
    <cellStyle name="20% - Accent3 5 3 4 2" xfId="6090" xr:uid="{BD5C60DE-09EB-4DD0-95A3-ACC1F3D5C968}"/>
    <cellStyle name="20% - Accent3 5 3 5" xfId="2783" xr:uid="{2A85A5B5-C426-40EB-B64E-1E532853B3A1}"/>
    <cellStyle name="20% - Accent3 5 3 5 2" xfId="6914" xr:uid="{C699834A-17E3-4872-8988-504B5730C000}"/>
    <cellStyle name="20% - Accent3 5 3 6" xfId="3607" xr:uid="{D3E12591-EB8A-4FC0-827A-A2BAD0159EFC}"/>
    <cellStyle name="20% - Accent3 5 3 6 2" xfId="7766" xr:uid="{15BBA9FE-4A2B-4223-9616-EECDE60A3E00}"/>
    <cellStyle name="20% - Accent3 5 3 7" xfId="4437" xr:uid="{CAFC219E-E343-4283-86CF-7E741058D3DF}"/>
    <cellStyle name="20% - Accent3 5 3 8" xfId="8613" xr:uid="{CCB44216-CAB4-46EA-8DCB-3C2BE22540DE}"/>
    <cellStyle name="20% - Accent3 5 4" xfId="514" xr:uid="{00000000-0005-0000-0000-0000B0000000}"/>
    <cellStyle name="20% - Accent3 5 4 2" xfId="1340" xr:uid="{2B089213-3918-4A3C-80DA-EEB0B40DC8E8}"/>
    <cellStyle name="20% - Accent3 5 4 2 2" xfId="5472" xr:uid="{83208A74-FBF3-4C05-85F6-75BCD7C60C3B}"/>
    <cellStyle name="20% - Accent3 5 4 3" xfId="2168" xr:uid="{1F08FCC0-1341-4081-899E-D91A8D166A00}"/>
    <cellStyle name="20% - Accent3 5 4 3 2" xfId="6299" xr:uid="{08CB396D-4D51-4CBD-BFE0-DF4F4C134119}"/>
    <cellStyle name="20% - Accent3 5 4 4" xfId="2992" xr:uid="{F9DF736A-37BD-47D2-B278-81D9FA01D22B}"/>
    <cellStyle name="20% - Accent3 5 4 4 2" xfId="7123" xr:uid="{522268BF-8D08-415A-965D-D3834F2359C2}"/>
    <cellStyle name="20% - Accent3 5 4 5" xfId="3816" xr:uid="{C6AF8BC1-4FF9-4DB7-B5A6-75A8012843B6}"/>
    <cellStyle name="20% - Accent3 5 4 5 2" xfId="7975" xr:uid="{C7313F67-C4A3-41A0-82A7-CD90F828ED9A}"/>
    <cellStyle name="20% - Accent3 5 4 6" xfId="4646" xr:uid="{69A74B17-630E-4832-8770-E3516C194EA7}"/>
    <cellStyle name="20% - Accent3 5 4 7" xfId="8822" xr:uid="{A6733DEE-ADB3-4BFA-875D-88717CDF53CA}"/>
    <cellStyle name="20% - Accent3 5 5" xfId="921" xr:uid="{0EC77440-EEA1-408B-8233-15D9EFA97C80}"/>
    <cellStyle name="20% - Accent3 5 5 2" xfId="5053" xr:uid="{E843A3E3-DEA5-4AB7-96D4-CCC73C08D1F6}"/>
    <cellStyle name="20% - Accent3 5 6" xfId="1749" xr:uid="{B6C108B6-870D-4862-9914-BD4AD0568508}"/>
    <cellStyle name="20% - Accent3 5 6 2" xfId="5880" xr:uid="{2FBFE23A-5255-4E42-A04D-37D34495E3F5}"/>
    <cellStyle name="20% - Accent3 5 7" xfId="2573" xr:uid="{6246B658-F0E6-4B67-834A-404D1C757459}"/>
    <cellStyle name="20% - Accent3 5 7 2" xfId="6704" xr:uid="{DEC4DF94-A55C-4EC2-AA13-9354452B90DD}"/>
    <cellStyle name="20% - Accent3 5 8" xfId="3397" xr:uid="{06CD11DF-B8ED-440B-975F-4303434994A0}"/>
    <cellStyle name="20% - Accent3 5 8 2" xfId="7556" xr:uid="{89DF2AC5-7A37-4B54-BB24-F60520513457}"/>
    <cellStyle name="20% - Accent3 5 9" xfId="4227" xr:uid="{99432D3D-5E87-4C9B-A4EE-F317282F0EF6}"/>
    <cellStyle name="20% - Accent3 6" xfId="135" xr:uid="{00000000-0005-0000-0000-0000B1000000}"/>
    <cellStyle name="20% - Accent3 6 2" xfId="345" xr:uid="{00000000-0005-0000-0000-0000B2000000}"/>
    <cellStyle name="20% - Accent3 6 2 2" xfId="762" xr:uid="{00000000-0005-0000-0000-0000B3000000}"/>
    <cellStyle name="20% - Accent3 6 2 2 2" xfId="1588" xr:uid="{A17EB32A-D7F4-4D99-AA67-044816C2A2A1}"/>
    <cellStyle name="20% - Accent3 6 2 2 2 2" xfId="5720" xr:uid="{3138E66B-6A5D-41FF-B24A-1CF4B0318272}"/>
    <cellStyle name="20% - Accent3 6 2 2 3" xfId="2416" xr:uid="{C287B3E0-FE76-4C33-A203-7582CB50A02D}"/>
    <cellStyle name="20% - Accent3 6 2 2 3 2" xfId="6547" xr:uid="{3D4A2294-2279-4744-9AEF-196A9002271D}"/>
    <cellStyle name="20% - Accent3 6 2 2 4" xfId="3240" xr:uid="{82F66ED9-7398-4DE6-A29F-160D2E5CC0CA}"/>
    <cellStyle name="20% - Accent3 6 2 2 4 2" xfId="7371" xr:uid="{0E5D1006-323F-43EC-A86E-E6494FBBD256}"/>
    <cellStyle name="20% - Accent3 6 2 2 5" xfId="4064" xr:uid="{6980D49E-44B9-47E5-8BF7-454F1B170055}"/>
    <cellStyle name="20% - Accent3 6 2 2 5 2" xfId="8223" xr:uid="{3788C4EE-BC8E-444A-85DF-F785AD3CBD85}"/>
    <cellStyle name="20% - Accent3 6 2 2 6" xfId="4894" xr:uid="{94F024AC-6017-4133-8960-D5545027A3FC}"/>
    <cellStyle name="20% - Accent3 6 2 2 7" xfId="9070" xr:uid="{B928B972-2E25-4F75-8F9D-DE0D527FDD92}"/>
    <cellStyle name="20% - Accent3 6 2 3" xfId="1171" xr:uid="{BE4B7AE9-A367-472A-8F9E-64B0464F44EB}"/>
    <cellStyle name="20% - Accent3 6 2 3 2" xfId="5303" xr:uid="{5B1AE17D-1B4E-4371-8CDC-A566A15B8238}"/>
    <cellStyle name="20% - Accent3 6 2 4" xfId="1999" xr:uid="{6E2810D7-CFB1-434B-8386-13D1F48B3D41}"/>
    <cellStyle name="20% - Accent3 6 2 4 2" xfId="6130" xr:uid="{9166B7CD-6250-4446-BDE5-26580A8FB3AF}"/>
    <cellStyle name="20% - Accent3 6 2 5" xfId="2823" xr:uid="{CE01FFDB-7C4D-4F57-B13E-5DB51CBFE556}"/>
    <cellStyle name="20% - Accent3 6 2 5 2" xfId="6954" xr:uid="{79240158-1327-4D73-A995-324C2DF677E0}"/>
    <cellStyle name="20% - Accent3 6 2 6" xfId="3647" xr:uid="{A3F8DED0-6B96-438B-BB9A-F8A950A48674}"/>
    <cellStyle name="20% - Accent3 6 2 6 2" xfId="7806" xr:uid="{1B836105-5BFF-4ED7-B4E9-ECA67DF6B474}"/>
    <cellStyle name="20% - Accent3 6 2 7" xfId="4477" xr:uid="{D3F0D7B6-BC14-4586-A0E7-66BE989286DF}"/>
    <cellStyle name="20% - Accent3 6 2 8" xfId="8653" xr:uid="{B12296ED-D868-43C1-8FAA-F02D9B2498C6}"/>
    <cellStyle name="20% - Accent3 6 3" xfId="554" xr:uid="{00000000-0005-0000-0000-0000B4000000}"/>
    <cellStyle name="20% - Accent3 6 3 2" xfId="1380" xr:uid="{A5E5DDE9-8806-4C12-9A3B-1E6327E45BA4}"/>
    <cellStyle name="20% - Accent3 6 3 2 2" xfId="5512" xr:uid="{534D3C0A-649C-4BC9-870A-48FF83D74BFF}"/>
    <cellStyle name="20% - Accent3 6 3 3" xfId="2208" xr:uid="{BA2116B7-39FF-4A17-B6DE-B48919B4B57A}"/>
    <cellStyle name="20% - Accent3 6 3 3 2" xfId="6339" xr:uid="{9EF1C94D-38C5-4549-BC57-CFE3A710230C}"/>
    <cellStyle name="20% - Accent3 6 3 4" xfId="3032" xr:uid="{5FA813A2-24D5-4CE9-B46F-C3B6BDC4FA9D}"/>
    <cellStyle name="20% - Accent3 6 3 4 2" xfId="7163" xr:uid="{41694532-3ABB-42A6-A17B-F6FAA8832C3E}"/>
    <cellStyle name="20% - Accent3 6 3 5" xfId="3856" xr:uid="{5CC83046-B1F9-4BB8-A094-CAA5D2BF4D17}"/>
    <cellStyle name="20% - Accent3 6 3 5 2" xfId="8015" xr:uid="{D5B730EC-E497-43CA-AA89-2BF35F024BE3}"/>
    <cellStyle name="20% - Accent3 6 3 6" xfId="4686" xr:uid="{018CEFF7-EE9D-49C9-A8AB-4F15A1CBF796}"/>
    <cellStyle name="20% - Accent3 6 3 7" xfId="8862" xr:uid="{4EC7D19F-B46C-473F-9A41-74C75F002D4A}"/>
    <cellStyle name="20% - Accent3 6 4" xfId="961" xr:uid="{9AE2745B-3036-449A-80B5-EC177635AAD3}"/>
    <cellStyle name="20% - Accent3 6 4 2" xfId="5093" xr:uid="{A6890909-74AE-4EEA-9CC2-D682EC571EBF}"/>
    <cellStyle name="20% - Accent3 6 5" xfId="1789" xr:uid="{94B22E58-1DC8-44FD-8FEE-63FB64091129}"/>
    <cellStyle name="20% - Accent3 6 5 2" xfId="5920" xr:uid="{EFAE1F6F-CF23-43DA-A844-D3CBE7258A29}"/>
    <cellStyle name="20% - Accent3 6 6" xfId="2613" xr:uid="{A8FB60A1-6133-4789-B5CD-C94F795E4C7C}"/>
    <cellStyle name="20% - Accent3 6 6 2" xfId="6744" xr:uid="{E04C4429-55CC-4C27-AF3E-4B0414A8BB66}"/>
    <cellStyle name="20% - Accent3 6 7" xfId="3437" xr:uid="{977ADA82-FF6D-46DC-83CE-72B5654FE309}"/>
    <cellStyle name="20% - Accent3 6 7 2" xfId="7596" xr:uid="{A14CE96F-9295-4559-8A0E-BB0E12260528}"/>
    <cellStyle name="20% - Accent3 6 8" xfId="4267" xr:uid="{C11A6A0B-4DAB-4C1A-A86C-FF19306D8936}"/>
    <cellStyle name="20% - Accent3 6 9" xfId="8443" xr:uid="{4190521D-98E4-4E44-8C29-384BA6E07170}"/>
    <cellStyle name="20% - Accent3 7" xfId="148" xr:uid="{00000000-0005-0000-0000-0000B5000000}"/>
    <cellStyle name="20% - Accent3 7 2" xfId="357" xr:uid="{00000000-0005-0000-0000-0000B6000000}"/>
    <cellStyle name="20% - Accent3 7 2 2" xfId="774" xr:uid="{00000000-0005-0000-0000-0000B7000000}"/>
    <cellStyle name="20% - Accent3 7 2 2 2" xfId="1600" xr:uid="{96AA4078-7DED-48AA-B7C1-4131726CBCA9}"/>
    <cellStyle name="20% - Accent3 7 2 2 2 2" xfId="5732" xr:uid="{77F529E8-9E8B-4EB8-827F-BCD50929367D}"/>
    <cellStyle name="20% - Accent3 7 2 2 3" xfId="2428" xr:uid="{1668493E-DC03-4160-9A02-23764B6EA5CB}"/>
    <cellStyle name="20% - Accent3 7 2 2 3 2" xfId="6559" xr:uid="{A51B0823-C8A6-4A85-BC52-3E967E6A0BF3}"/>
    <cellStyle name="20% - Accent3 7 2 2 4" xfId="3252" xr:uid="{C9317A2E-B7AA-44D2-ACA1-298857FF00C9}"/>
    <cellStyle name="20% - Accent3 7 2 2 4 2" xfId="7383" xr:uid="{80C2153C-1363-4928-889B-8B74C0C2E921}"/>
    <cellStyle name="20% - Accent3 7 2 2 5" xfId="4076" xr:uid="{0A226E9B-FEF7-494B-BA5C-0761F30E8EC7}"/>
    <cellStyle name="20% - Accent3 7 2 2 5 2" xfId="8235" xr:uid="{FFBFF35F-B6BD-4D19-B4F2-D6312106EFF4}"/>
    <cellStyle name="20% - Accent3 7 2 2 6" xfId="4906" xr:uid="{CBCCEA3E-A21C-4196-BCA3-F91CCFCBB266}"/>
    <cellStyle name="20% - Accent3 7 2 2 7" xfId="9082" xr:uid="{6FF29206-7DBF-41AF-A8A9-059EE26CE889}"/>
    <cellStyle name="20% - Accent3 7 2 3" xfId="1183" xr:uid="{5D44B737-31E8-4785-8D8F-91091EF47E3D}"/>
    <cellStyle name="20% - Accent3 7 2 3 2" xfId="5315" xr:uid="{ABB952BE-CC6E-43AE-9173-81B706E13B6B}"/>
    <cellStyle name="20% - Accent3 7 2 4" xfId="2011" xr:uid="{4DAE1D9D-3AC5-4752-9053-4C8FAE3D208B}"/>
    <cellStyle name="20% - Accent3 7 2 4 2" xfId="6142" xr:uid="{22D54D38-3475-42C1-9B46-5532CDDB49C9}"/>
    <cellStyle name="20% - Accent3 7 2 5" xfId="2835" xr:uid="{7E67961A-0328-481B-BFC1-3606893D8EB5}"/>
    <cellStyle name="20% - Accent3 7 2 5 2" xfId="6966" xr:uid="{9CF45CB5-FE51-4AC0-9C97-6C70CEBC2C7F}"/>
    <cellStyle name="20% - Accent3 7 2 6" xfId="3659" xr:uid="{9C0EFD7A-4C20-4079-B93E-055866A2EA4D}"/>
    <cellStyle name="20% - Accent3 7 2 6 2" xfId="7818" xr:uid="{BE2ACBC9-DD43-4710-972F-89E0E38A6B57}"/>
    <cellStyle name="20% - Accent3 7 2 7" xfId="4489" xr:uid="{A581EA94-DE88-4E7C-8F0F-393D7BFA585B}"/>
    <cellStyle name="20% - Accent3 7 2 8" xfId="8665" xr:uid="{20C0489D-CA1A-4325-8C92-9352236A372F}"/>
    <cellStyle name="20% - Accent3 7 3" xfId="566" xr:uid="{00000000-0005-0000-0000-0000B8000000}"/>
    <cellStyle name="20% - Accent3 7 3 2" xfId="1392" xr:uid="{91F0A61E-AF8D-480D-BD59-FB426349955D}"/>
    <cellStyle name="20% - Accent3 7 3 2 2" xfId="5524" xr:uid="{32DCB8A1-42E1-47F1-A2BE-BB4949D63A41}"/>
    <cellStyle name="20% - Accent3 7 3 3" xfId="2220" xr:uid="{0720C414-BDB4-4AED-939F-3F6A38AABCA6}"/>
    <cellStyle name="20% - Accent3 7 3 3 2" xfId="6351" xr:uid="{C3B4F46B-9828-43D4-A606-56236860C5A3}"/>
    <cellStyle name="20% - Accent3 7 3 4" xfId="3044" xr:uid="{33690C42-34E7-47DB-9778-5EE7E8D68AA5}"/>
    <cellStyle name="20% - Accent3 7 3 4 2" xfId="7175" xr:uid="{4096D4E6-B7F8-4552-A471-0D7DDCD4BBAB}"/>
    <cellStyle name="20% - Accent3 7 3 5" xfId="3868" xr:uid="{E30640F2-2522-4FD7-86CD-0AC40DB87475}"/>
    <cellStyle name="20% - Accent3 7 3 5 2" xfId="8027" xr:uid="{3E4437C0-7AB1-4C42-9B52-2FAC2C624EDB}"/>
    <cellStyle name="20% - Accent3 7 3 6" xfId="4698" xr:uid="{19331A2F-5FCB-4E56-8DB0-5A259D3C3767}"/>
    <cellStyle name="20% - Accent3 7 3 7" xfId="8874" xr:uid="{0B84D99F-BEE7-4F8C-8A50-89B1E17EFEB6}"/>
    <cellStyle name="20% - Accent3 7 4" xfId="974" xr:uid="{A5835EAF-613C-4AE4-823D-66BDF2845334}"/>
    <cellStyle name="20% - Accent3 7 4 2" xfId="5106" xr:uid="{1D9AF98C-5540-4DDF-B1C3-6969346E7818}"/>
    <cellStyle name="20% - Accent3 7 5" xfId="1802" xr:uid="{B6BFDC40-A48B-4CEB-8D5D-D50F4FCD66CB}"/>
    <cellStyle name="20% - Accent3 7 5 2" xfId="5933" xr:uid="{A68EFA76-EFC4-42CE-ABD7-1B226331AED8}"/>
    <cellStyle name="20% - Accent3 7 6" xfId="2626" xr:uid="{3A4BE681-F3F0-4298-8264-165B7A9D9187}"/>
    <cellStyle name="20% - Accent3 7 6 2" xfId="6757" xr:uid="{750926CB-1C21-4731-A436-B96D22CF81E7}"/>
    <cellStyle name="20% - Accent3 7 7" xfId="3450" xr:uid="{19887FD0-34BF-4659-9799-28BE5F0E5716}"/>
    <cellStyle name="20% - Accent3 7 7 2" xfId="7609" xr:uid="{DB0DAEA2-9F65-4F29-89A0-6B26F314721E}"/>
    <cellStyle name="20% - Accent3 7 8" xfId="4280" xr:uid="{CC46E2B9-7F1C-4D61-9F01-18D6B8641CE9}"/>
    <cellStyle name="20% - Accent3 7 9" xfId="8456" xr:uid="{A76D4C8A-EEA2-49C6-9087-B1722B1D1F37}"/>
    <cellStyle name="20% - Accent3 8" xfId="240" xr:uid="{00000000-0005-0000-0000-0000B9000000}"/>
    <cellStyle name="20% - Accent3 8 2" xfId="658" xr:uid="{00000000-0005-0000-0000-0000BA000000}"/>
    <cellStyle name="20% - Accent3 8 2 2" xfId="1484" xr:uid="{D598CDED-74EC-47C2-A955-82B22E4A90BB}"/>
    <cellStyle name="20% - Accent3 8 2 2 2" xfId="5616" xr:uid="{DBBE8EFB-2782-4735-9236-848EC998823E}"/>
    <cellStyle name="20% - Accent3 8 2 3" xfId="2312" xr:uid="{CA55E001-068C-4640-897C-75B8DB9F709E}"/>
    <cellStyle name="20% - Accent3 8 2 3 2" xfId="6443" xr:uid="{5EC59F6C-7064-4A5C-B27F-20BC3621EBC9}"/>
    <cellStyle name="20% - Accent3 8 2 4" xfId="3136" xr:uid="{2FC87A47-A2B5-4C66-925D-75B61483EEFE}"/>
    <cellStyle name="20% - Accent3 8 2 4 2" xfId="7267" xr:uid="{F417CF2B-60F7-47A9-AC9F-9C731A3C6A61}"/>
    <cellStyle name="20% - Accent3 8 2 5" xfId="3960" xr:uid="{D8564FB1-72F1-44C0-BC04-D291A2C70605}"/>
    <cellStyle name="20% - Accent3 8 2 5 2" xfId="8119" xr:uid="{8A52855A-BE2D-4244-A2CC-7017E5733D33}"/>
    <cellStyle name="20% - Accent3 8 2 6" xfId="4790" xr:uid="{C56AA0AA-B8E4-406C-B2C9-D266F89B674E}"/>
    <cellStyle name="20% - Accent3 8 2 7" xfId="8966" xr:uid="{8B64336F-223C-40D1-BF13-7DA1F70E5757}"/>
    <cellStyle name="20% - Accent3 8 3" xfId="1066" xr:uid="{91E12450-6A95-4A73-9C15-B99F0AA26A48}"/>
    <cellStyle name="20% - Accent3 8 3 2" xfId="5198" xr:uid="{BFA39FD7-9824-4BA8-97FA-94A1A73F33DA}"/>
    <cellStyle name="20% - Accent3 8 4" xfId="1894" xr:uid="{20F29A1A-688A-4871-B54A-983E9491AF7D}"/>
    <cellStyle name="20% - Accent3 8 4 2" xfId="6025" xr:uid="{E3F43E61-D128-4C4D-9B90-A07B3A833996}"/>
    <cellStyle name="20% - Accent3 8 5" xfId="2718" xr:uid="{B4AAD157-2310-45FA-A3BD-B3805AC2A3D2}"/>
    <cellStyle name="20% - Accent3 8 5 2" xfId="6849" xr:uid="{31872CF2-7D89-4763-BE77-5663EAE40A5D}"/>
    <cellStyle name="20% - Accent3 8 6" xfId="3542" xr:uid="{C29B1135-47E8-4874-BD68-7FD96B355475}"/>
    <cellStyle name="20% - Accent3 8 6 2" xfId="7701" xr:uid="{FC131F12-5ED5-4415-89A2-4E34CCB05324}"/>
    <cellStyle name="20% - Accent3 8 7" xfId="4372" xr:uid="{496CAE7A-C609-41C2-B273-B8074628DEDD}"/>
    <cellStyle name="20% - Accent3 8 8" xfId="8548" xr:uid="{BF5A94C4-C4AD-4EC6-B740-C5BCD711B02B}"/>
    <cellStyle name="20% - Accent3 9" xfId="253" xr:uid="{00000000-0005-0000-0000-0000BB000000}"/>
    <cellStyle name="20% - Accent3 9 2" xfId="670" xr:uid="{00000000-0005-0000-0000-0000BC000000}"/>
    <cellStyle name="20% - Accent3 9 2 2" xfId="1496" xr:uid="{E10B5798-E861-4B21-8573-E65618A5FADA}"/>
    <cellStyle name="20% - Accent3 9 2 2 2" xfId="5628" xr:uid="{E82C81A7-7BCA-4A0D-A396-D9CBE071CA20}"/>
    <cellStyle name="20% - Accent3 9 2 3" xfId="2324" xr:uid="{AE873FB2-5CDE-47C4-9ABF-2337F381B593}"/>
    <cellStyle name="20% - Accent3 9 2 3 2" xfId="6455" xr:uid="{614DF7B3-F5CF-4178-8C62-F8F0B3679D2C}"/>
    <cellStyle name="20% - Accent3 9 2 4" xfId="3148" xr:uid="{14683E43-549D-4B4D-BDF7-F13E586A56A5}"/>
    <cellStyle name="20% - Accent3 9 2 4 2" xfId="7279" xr:uid="{B67267B7-32A0-43EB-AF92-27000095A5BF}"/>
    <cellStyle name="20% - Accent3 9 2 5" xfId="3972" xr:uid="{49B0717C-00CB-4953-BA9F-491391DD2E95}"/>
    <cellStyle name="20% - Accent3 9 2 5 2" xfId="8131" xr:uid="{D99BA323-3327-4CF3-9C52-DA2CEE366FB4}"/>
    <cellStyle name="20% - Accent3 9 2 6" xfId="4802" xr:uid="{648371A6-51C8-46F9-A28C-38F91CBCECE6}"/>
    <cellStyle name="20% - Accent3 9 2 7" xfId="8978" xr:uid="{65E521D3-9460-4B82-8FD1-7410ED8D752B}"/>
    <cellStyle name="20% - Accent3 9 3" xfId="1079" xr:uid="{F59EE301-81B7-426F-986A-D0F4DD298107}"/>
    <cellStyle name="20% - Accent3 9 3 2" xfId="5211" xr:uid="{F757DF38-F3CD-488B-911D-7ACB2DF84BD3}"/>
    <cellStyle name="20% - Accent3 9 4" xfId="1907" xr:uid="{4EDF9315-93A7-4D09-823A-46A3B75A8B5D}"/>
    <cellStyle name="20% - Accent3 9 4 2" xfId="6038" xr:uid="{9406F00A-DE42-4EC8-864D-B4DB5CF5B346}"/>
    <cellStyle name="20% - Accent3 9 5" xfId="2731" xr:uid="{B869AD80-619F-4302-9BE7-27598978D255}"/>
    <cellStyle name="20% - Accent3 9 5 2" xfId="6862" xr:uid="{118B9219-7F49-43A6-88C6-46BD93E1C930}"/>
    <cellStyle name="20% - Accent3 9 6" xfId="3555" xr:uid="{5F22CA7E-01A3-4FCD-912D-F6648F9480A7}"/>
    <cellStyle name="20% - Accent3 9 6 2" xfId="7714" xr:uid="{F7182E2C-944B-434A-AECC-8A56F2A26B72}"/>
    <cellStyle name="20% - Accent3 9 7" xfId="4385" xr:uid="{45281AAB-7715-49A1-AD55-8AB601354526}"/>
    <cellStyle name="20% - Accent3 9 8" xfId="8561" xr:uid="{53E21B50-43BD-46BF-BDAC-9F80FC843410}"/>
    <cellStyle name="20% - Accent4" xfId="32" builtinId="42" customBuiltin="1"/>
    <cellStyle name="20% - Accent4 10" xfId="451" xr:uid="{00000000-0005-0000-0000-0000BE000000}"/>
    <cellStyle name="20% - Accent4 10 2" xfId="1277" xr:uid="{15F38811-F64A-4F46-9B95-36CC808D45DA}"/>
    <cellStyle name="20% - Accent4 10 2 2" xfId="5409" xr:uid="{0792591F-B702-4AEE-902E-AA6012470332}"/>
    <cellStyle name="20% - Accent4 10 3" xfId="2105" xr:uid="{925C039B-73AF-42F6-831D-ACD0D5B89C9D}"/>
    <cellStyle name="20% - Accent4 10 3 2" xfId="6236" xr:uid="{66AF2C1E-F9DD-4827-9DDF-1187D0578632}"/>
    <cellStyle name="20% - Accent4 10 4" xfId="2929" xr:uid="{F16AF0C9-5E9E-450B-B043-C005CC0E3184}"/>
    <cellStyle name="20% - Accent4 10 4 2" xfId="7060" xr:uid="{0CD96FB1-3F2A-4AE8-8ECF-D2EFF6497074}"/>
    <cellStyle name="20% - Accent4 10 5" xfId="3753" xr:uid="{C3FC8163-B29C-42A8-8A9E-C0D0AFAB3FEF}"/>
    <cellStyle name="20% - Accent4 10 5 2" xfId="7912" xr:uid="{BDA80C1A-5BC5-4D1C-AE60-CA380450918E}"/>
    <cellStyle name="20% - Accent4 10 6" xfId="4583" xr:uid="{3F9F8E29-D562-4AE1-86C7-12D80F902D20}"/>
    <cellStyle name="20% - Accent4 10 7" xfId="8759" xr:uid="{ED9BF13B-8E53-4605-9FF8-675506983AA4}"/>
    <cellStyle name="20% - Accent4 11" xfId="464" xr:uid="{00000000-0005-0000-0000-0000BF000000}"/>
    <cellStyle name="20% - Accent4 11 2" xfId="1290" xr:uid="{13D0D624-5D66-42FF-9BA1-52F3F0F3E5C0}"/>
    <cellStyle name="20% - Accent4 11 2 2" xfId="5422" xr:uid="{0D530925-E148-4AA0-B8A0-D50C1A95FA32}"/>
    <cellStyle name="20% - Accent4 11 3" xfId="2118" xr:uid="{B21AA73D-491F-4C72-B695-3142A344E3D3}"/>
    <cellStyle name="20% - Accent4 11 3 2" xfId="6249" xr:uid="{888C293C-3E10-4402-80F7-A0F8E1371FB2}"/>
    <cellStyle name="20% - Accent4 11 4" xfId="2942" xr:uid="{AA36C696-2835-4E68-8870-304C138CF5DA}"/>
    <cellStyle name="20% - Accent4 11 4 2" xfId="7073" xr:uid="{DAD529D8-AA4B-4976-B87D-0DC6DCF9AA46}"/>
    <cellStyle name="20% - Accent4 11 5" xfId="3766" xr:uid="{05B373F6-60A0-4E45-9291-0057392E3B50}"/>
    <cellStyle name="20% - Accent4 11 5 2" xfId="7925" xr:uid="{E8C2C7B1-A1C3-4B19-95AB-791B85B29B98}"/>
    <cellStyle name="20% - Accent4 11 6" xfId="4596" xr:uid="{16934C02-BAE1-4B26-A758-63B7F3C3B7B9}"/>
    <cellStyle name="20% - Accent4 11 7" xfId="8772" xr:uid="{67E9D1DC-89C7-4713-8AB0-EA3BECBED9D1}"/>
    <cellStyle name="20% - Accent4 12" xfId="869" xr:uid="{BCE00931-938E-4EC0-BC80-60AD03AEDE5C}"/>
    <cellStyle name="20% - Accent4 12 2" xfId="5001" xr:uid="{13725486-3C91-44FD-A872-D1C3D939DCE3}"/>
    <cellStyle name="20% - Accent4 13" xfId="1698" xr:uid="{3CE1AD08-FCFD-416D-8EFA-465E1CA402B6}"/>
    <cellStyle name="20% - Accent4 13 2" xfId="5829" xr:uid="{F51363CA-8122-4ECE-BB88-A14BD43FE7D1}"/>
    <cellStyle name="20% - Accent4 14" xfId="2522" xr:uid="{577F123A-EC5C-491F-9B46-D2E7AEDDCDAE}"/>
    <cellStyle name="20% - Accent4 14 2" xfId="6653" xr:uid="{2C361073-AC1A-4114-906D-8B6B77B06D9D}"/>
    <cellStyle name="20% - Accent4 15" xfId="3346" xr:uid="{EF2BC508-1AB7-4D45-8F35-511087A66D5E}"/>
    <cellStyle name="20% - Accent4 15 2" xfId="7505" xr:uid="{8668F225-BB14-475A-AE05-804F3FEA5E12}"/>
    <cellStyle name="20% - Accent4 16" xfId="4175" xr:uid="{975CA7CF-C6FC-4EAE-9F3E-28C3721AD58B}"/>
    <cellStyle name="20% - Accent4 17" xfId="8352" xr:uid="{A5E11A97-C9AF-4FD3-8378-C644595CA0A3}"/>
    <cellStyle name="20% - Accent4 2" xfId="58" xr:uid="{00000000-0005-0000-0000-0000C0000000}"/>
    <cellStyle name="20% - Accent4 2 10" xfId="4190" xr:uid="{8282B788-105C-4FDC-9851-0F4AD9A7BB92}"/>
    <cellStyle name="20% - Accent4 2 11" xfId="8366" xr:uid="{89A0BB2E-91B5-40B7-8B1E-8C0134A40E11}"/>
    <cellStyle name="20% - Accent4 2 2" xfId="111" xr:uid="{00000000-0005-0000-0000-0000C1000000}"/>
    <cellStyle name="20% - Accent4 2 2 10" xfId="8419" xr:uid="{7202DFE4-20C7-44FA-9DD3-DD8E97ACE104}"/>
    <cellStyle name="20% - Accent4 2 2 2" xfId="216" xr:uid="{00000000-0005-0000-0000-0000C2000000}"/>
    <cellStyle name="20% - Accent4 2 2 2 2" xfId="425" xr:uid="{00000000-0005-0000-0000-0000C3000000}"/>
    <cellStyle name="20% - Accent4 2 2 2 2 2" xfId="842" xr:uid="{00000000-0005-0000-0000-0000C4000000}"/>
    <cellStyle name="20% - Accent4 2 2 2 2 2 2" xfId="1668" xr:uid="{D5214A89-CB9C-430B-A100-7DD093B634C7}"/>
    <cellStyle name="20% - Accent4 2 2 2 2 2 2 2" xfId="5800" xr:uid="{BFEF9235-C789-4E69-875E-DA544B52B5EE}"/>
    <cellStyle name="20% - Accent4 2 2 2 2 2 3" xfId="2496" xr:uid="{3084EFDF-7D92-4002-B1CF-BBB617F4C1EF}"/>
    <cellStyle name="20% - Accent4 2 2 2 2 2 3 2" xfId="6627" xr:uid="{5D905CAC-2CA8-4D7F-9E0D-0D3BBAF461CF}"/>
    <cellStyle name="20% - Accent4 2 2 2 2 2 4" xfId="3320" xr:uid="{80F4BC08-567C-4B06-9363-AA6DF46ACD38}"/>
    <cellStyle name="20% - Accent4 2 2 2 2 2 4 2" xfId="7451" xr:uid="{464FA04E-0417-440C-8F60-02720AF4873D}"/>
    <cellStyle name="20% - Accent4 2 2 2 2 2 5" xfId="4144" xr:uid="{E5564502-57FF-4397-9623-28F1FAA15A47}"/>
    <cellStyle name="20% - Accent4 2 2 2 2 2 5 2" xfId="8303" xr:uid="{21C38FEC-B809-42B1-90EA-0FF7F2E9A3C3}"/>
    <cellStyle name="20% - Accent4 2 2 2 2 2 6" xfId="4974" xr:uid="{50F1467B-80AC-4CD0-BA70-2DC2DD24D09A}"/>
    <cellStyle name="20% - Accent4 2 2 2 2 2 7" xfId="9150" xr:uid="{6E368404-F835-4E55-9EBF-26ACB8E3A11D}"/>
    <cellStyle name="20% - Accent4 2 2 2 2 3" xfId="1251" xr:uid="{4C5F2EC2-C474-46FD-B228-D40CC9809419}"/>
    <cellStyle name="20% - Accent4 2 2 2 2 3 2" xfId="5383" xr:uid="{1142CE93-E131-4BCB-A919-4F9A3FDCCE34}"/>
    <cellStyle name="20% - Accent4 2 2 2 2 4" xfId="2079" xr:uid="{EEF3E4CD-2C35-4560-85BD-2EC7C22ED60E}"/>
    <cellStyle name="20% - Accent4 2 2 2 2 4 2" xfId="6210" xr:uid="{A1343B59-6646-4ADC-9C0B-168C571E8132}"/>
    <cellStyle name="20% - Accent4 2 2 2 2 5" xfId="2903" xr:uid="{08275072-A328-4294-817D-C1C5986ED42B}"/>
    <cellStyle name="20% - Accent4 2 2 2 2 5 2" xfId="7034" xr:uid="{75ECC7EC-7139-4034-9C63-3C818D929840}"/>
    <cellStyle name="20% - Accent4 2 2 2 2 6" xfId="3727" xr:uid="{3AC87322-765C-4914-B027-E73058F9B0C5}"/>
    <cellStyle name="20% - Accent4 2 2 2 2 6 2" xfId="7886" xr:uid="{A0AD53C0-C0D3-4A3D-B777-00577565ED7F}"/>
    <cellStyle name="20% - Accent4 2 2 2 2 7" xfId="4557" xr:uid="{7B9615D1-6D08-4FB0-AAE1-77066B006C6D}"/>
    <cellStyle name="20% - Accent4 2 2 2 2 8" xfId="8733" xr:uid="{0F80B1E4-0D70-4493-9D88-51A1B2B5A892}"/>
    <cellStyle name="20% - Accent4 2 2 2 3" xfId="634" xr:uid="{00000000-0005-0000-0000-0000C5000000}"/>
    <cellStyle name="20% - Accent4 2 2 2 3 2" xfId="1460" xr:uid="{0A7A3BF5-0D88-4DA1-BC1C-31BDF899BA1A}"/>
    <cellStyle name="20% - Accent4 2 2 2 3 2 2" xfId="5592" xr:uid="{D0CE335F-EA22-4786-8BA5-05D116E9ECFA}"/>
    <cellStyle name="20% - Accent4 2 2 2 3 3" xfId="2288" xr:uid="{4929EDE4-1402-4D90-A883-E837A8375B94}"/>
    <cellStyle name="20% - Accent4 2 2 2 3 3 2" xfId="6419" xr:uid="{54B31A2D-6A0C-44C6-99EB-2FA842906854}"/>
    <cellStyle name="20% - Accent4 2 2 2 3 4" xfId="3112" xr:uid="{6389CAE3-2806-4F21-96C0-F8E374B25B04}"/>
    <cellStyle name="20% - Accent4 2 2 2 3 4 2" xfId="7243" xr:uid="{B18FE4F2-BCBC-41EF-A046-285A13AC2D2F}"/>
    <cellStyle name="20% - Accent4 2 2 2 3 5" xfId="3936" xr:uid="{00276038-0401-4904-B97D-D43EB4A2E279}"/>
    <cellStyle name="20% - Accent4 2 2 2 3 5 2" xfId="8095" xr:uid="{60DB90C8-3AE4-4925-B7A2-874224B0ACBA}"/>
    <cellStyle name="20% - Accent4 2 2 2 3 6" xfId="4766" xr:uid="{C1575C5A-A724-49F4-9289-A9E2190BC6A3}"/>
    <cellStyle name="20% - Accent4 2 2 2 3 7" xfId="8942" xr:uid="{0CC94C4C-7172-4624-BDED-46494BEF313E}"/>
    <cellStyle name="20% - Accent4 2 2 2 4" xfId="1042" xr:uid="{558EE1C0-7584-4D44-BC2A-C76BD85F1A31}"/>
    <cellStyle name="20% - Accent4 2 2 2 4 2" xfId="5174" xr:uid="{559C6AA2-8000-431B-9C7B-50AF3A4C74E7}"/>
    <cellStyle name="20% - Accent4 2 2 2 5" xfId="1870" xr:uid="{36A35BDB-FF05-4337-9DCC-03325C01959A}"/>
    <cellStyle name="20% - Accent4 2 2 2 5 2" xfId="6001" xr:uid="{98EEEDD2-9A72-475A-9BA2-5D11E8CC8792}"/>
    <cellStyle name="20% - Accent4 2 2 2 6" xfId="2694" xr:uid="{287A5229-61A9-4D75-A86C-38159AB0907B}"/>
    <cellStyle name="20% - Accent4 2 2 2 6 2" xfId="6825" xr:uid="{C17ACC5E-9E54-494E-ADFD-E7709E25CCFC}"/>
    <cellStyle name="20% - Accent4 2 2 2 7" xfId="3518" xr:uid="{E33DADE9-24AC-4248-A8F6-D9AB38E26680}"/>
    <cellStyle name="20% - Accent4 2 2 2 7 2" xfId="7677" xr:uid="{9E071121-16AB-4DE0-9F19-822C1F4925BE}"/>
    <cellStyle name="20% - Accent4 2 2 2 8" xfId="4348" xr:uid="{B2F891FB-755C-44FB-8479-9668FD01370C}"/>
    <cellStyle name="20% - Accent4 2 2 2 9" xfId="8524" xr:uid="{54A6468D-8BBB-4216-B449-BF29B4BE6312}"/>
    <cellStyle name="20% - Accent4 2 2 3" xfId="321" xr:uid="{00000000-0005-0000-0000-0000C6000000}"/>
    <cellStyle name="20% - Accent4 2 2 3 2" xfId="738" xr:uid="{00000000-0005-0000-0000-0000C7000000}"/>
    <cellStyle name="20% - Accent4 2 2 3 2 2" xfId="1564" xr:uid="{F4ED04D4-CFF2-4657-8294-DB0950ACE1B3}"/>
    <cellStyle name="20% - Accent4 2 2 3 2 2 2" xfId="5696" xr:uid="{E8669DDB-4031-46A1-8F87-C97A4935E10C}"/>
    <cellStyle name="20% - Accent4 2 2 3 2 3" xfId="2392" xr:uid="{49F879D1-EAA3-4625-92B0-A509A4A1D260}"/>
    <cellStyle name="20% - Accent4 2 2 3 2 3 2" xfId="6523" xr:uid="{58C4DCF7-39DB-493A-8786-5E0E110CC2C6}"/>
    <cellStyle name="20% - Accent4 2 2 3 2 4" xfId="3216" xr:uid="{21124933-306F-4220-9DBB-2D986AED1636}"/>
    <cellStyle name="20% - Accent4 2 2 3 2 4 2" xfId="7347" xr:uid="{5CDE1735-6D97-42F4-88C8-78DCD0C48752}"/>
    <cellStyle name="20% - Accent4 2 2 3 2 5" xfId="4040" xr:uid="{E7794512-8D60-4B7B-A442-F7F6DEC1FBF6}"/>
    <cellStyle name="20% - Accent4 2 2 3 2 5 2" xfId="8199" xr:uid="{1C0C2FC3-C220-403D-914A-C8B2EB9B0078}"/>
    <cellStyle name="20% - Accent4 2 2 3 2 6" xfId="4870" xr:uid="{98037536-0C8C-4636-93FE-B4F1854AD76B}"/>
    <cellStyle name="20% - Accent4 2 2 3 2 7" xfId="9046" xr:uid="{B38DF8E5-08E5-4512-8D4B-AFE7A13465B0}"/>
    <cellStyle name="20% - Accent4 2 2 3 3" xfId="1147" xr:uid="{171ECF4E-74E1-4FD7-9B15-82F3D33B7392}"/>
    <cellStyle name="20% - Accent4 2 2 3 3 2" xfId="5279" xr:uid="{CC3EAF1B-A74E-426F-AF01-6E6CCA6C2035}"/>
    <cellStyle name="20% - Accent4 2 2 3 4" xfId="1975" xr:uid="{664B29E0-3CD7-4AE2-9FD7-947B59121249}"/>
    <cellStyle name="20% - Accent4 2 2 3 4 2" xfId="6106" xr:uid="{693C6DC3-33F2-4427-AA2F-5D18D5156E99}"/>
    <cellStyle name="20% - Accent4 2 2 3 5" xfId="2799" xr:uid="{B115C7AD-A255-4BBE-98EF-1D3F09D3E1F9}"/>
    <cellStyle name="20% - Accent4 2 2 3 5 2" xfId="6930" xr:uid="{78A5C33C-8A65-448B-A4F0-BD97BD36861E}"/>
    <cellStyle name="20% - Accent4 2 2 3 6" xfId="3623" xr:uid="{B47CA8E4-3E9B-4A52-A8DF-ADBE2E3EA885}"/>
    <cellStyle name="20% - Accent4 2 2 3 6 2" xfId="7782" xr:uid="{3DE3D914-3477-40DB-A689-B953C311FCEC}"/>
    <cellStyle name="20% - Accent4 2 2 3 7" xfId="4453" xr:uid="{57E22293-12E0-4DC9-AB72-85E440199B15}"/>
    <cellStyle name="20% - Accent4 2 2 3 8" xfId="8629" xr:uid="{D8E4B50D-418F-4009-916E-5EA5BD0A08C5}"/>
    <cellStyle name="20% - Accent4 2 2 4" xfId="530" xr:uid="{00000000-0005-0000-0000-0000C8000000}"/>
    <cellStyle name="20% - Accent4 2 2 4 2" xfId="1356" xr:uid="{5963DC5C-538A-483F-9FBA-FD5CF0223A12}"/>
    <cellStyle name="20% - Accent4 2 2 4 2 2" xfId="5488" xr:uid="{1AC29812-7906-4759-AFC2-865C940006A5}"/>
    <cellStyle name="20% - Accent4 2 2 4 3" xfId="2184" xr:uid="{71947A9B-F786-4B9E-9821-B4A23A8ECC78}"/>
    <cellStyle name="20% - Accent4 2 2 4 3 2" xfId="6315" xr:uid="{7F4697E2-E64F-41AB-843C-16F54BFD7987}"/>
    <cellStyle name="20% - Accent4 2 2 4 4" xfId="3008" xr:uid="{5031B3D6-8980-48F2-873A-5E203A4F40DC}"/>
    <cellStyle name="20% - Accent4 2 2 4 4 2" xfId="7139" xr:uid="{437723B5-A750-4039-B9CB-C797B73D51B1}"/>
    <cellStyle name="20% - Accent4 2 2 4 5" xfId="3832" xr:uid="{076241C6-0385-4418-9037-D8873F1D11CA}"/>
    <cellStyle name="20% - Accent4 2 2 4 5 2" xfId="7991" xr:uid="{5AFF6319-C53D-4F95-BC8A-045612B4E72D}"/>
    <cellStyle name="20% - Accent4 2 2 4 6" xfId="4662" xr:uid="{1472FD55-9659-4F22-8B45-1AD79A188FA2}"/>
    <cellStyle name="20% - Accent4 2 2 4 7" xfId="8838" xr:uid="{5C8B513A-9E26-4C28-972B-A8CB892097CE}"/>
    <cellStyle name="20% - Accent4 2 2 5" xfId="937" xr:uid="{391E1CAD-1BE3-4E1F-9094-9E190A926EE0}"/>
    <cellStyle name="20% - Accent4 2 2 5 2" xfId="5069" xr:uid="{9A39B7A1-E52F-4718-819A-C31E34991E89}"/>
    <cellStyle name="20% - Accent4 2 2 6" xfId="1765" xr:uid="{289DC022-50E9-4DCB-9941-FD2C44271A67}"/>
    <cellStyle name="20% - Accent4 2 2 6 2" xfId="5896" xr:uid="{61861BAB-E138-46CC-948F-FE2E78F5A45B}"/>
    <cellStyle name="20% - Accent4 2 2 7" xfId="2589" xr:uid="{A2C6FCD8-2475-489D-AF78-DD69731D5203}"/>
    <cellStyle name="20% - Accent4 2 2 7 2" xfId="6720" xr:uid="{FCC0865E-E7BD-479F-B8CD-047F22C16619}"/>
    <cellStyle name="20% - Accent4 2 2 8" xfId="3413" xr:uid="{347765B4-A35C-4FFB-B0F4-BCD76E23E5CF}"/>
    <cellStyle name="20% - Accent4 2 2 8 2" xfId="7572" xr:uid="{154B3C91-19F0-4D9B-A67D-30D77A1CF443}"/>
    <cellStyle name="20% - Accent4 2 2 9" xfId="4243" xr:uid="{778E6DEE-E4A9-4973-A701-C3D163F085A3}"/>
    <cellStyle name="20% - Accent4 2 3" xfId="164" xr:uid="{00000000-0005-0000-0000-0000C9000000}"/>
    <cellStyle name="20% - Accent4 2 3 2" xfId="373" xr:uid="{00000000-0005-0000-0000-0000CA000000}"/>
    <cellStyle name="20% - Accent4 2 3 2 2" xfId="790" xr:uid="{00000000-0005-0000-0000-0000CB000000}"/>
    <cellStyle name="20% - Accent4 2 3 2 2 2" xfId="1616" xr:uid="{3301C699-B7CD-458F-9D7D-AB1806A467AB}"/>
    <cellStyle name="20% - Accent4 2 3 2 2 2 2" xfId="5748" xr:uid="{EBF8A867-ED24-4162-A76B-3DEB9E952BCA}"/>
    <cellStyle name="20% - Accent4 2 3 2 2 3" xfId="2444" xr:uid="{693ABCF5-3175-466F-A196-BE69EE7AFFC8}"/>
    <cellStyle name="20% - Accent4 2 3 2 2 3 2" xfId="6575" xr:uid="{834041E5-355C-418B-AB70-E3309C28773B}"/>
    <cellStyle name="20% - Accent4 2 3 2 2 4" xfId="3268" xr:uid="{320FB538-D8C6-4455-89F8-2310B708729F}"/>
    <cellStyle name="20% - Accent4 2 3 2 2 4 2" xfId="7399" xr:uid="{81CE21B0-3727-407F-8C07-D65E4BD20E79}"/>
    <cellStyle name="20% - Accent4 2 3 2 2 5" xfId="4092" xr:uid="{C186332D-7714-4035-B514-04CAEF3B8B37}"/>
    <cellStyle name="20% - Accent4 2 3 2 2 5 2" xfId="8251" xr:uid="{77D626F1-4CEF-49AD-A512-BC57845D4977}"/>
    <cellStyle name="20% - Accent4 2 3 2 2 6" xfId="4922" xr:uid="{B0A9120B-4DE3-4C7A-B0D9-D76B296A4F0A}"/>
    <cellStyle name="20% - Accent4 2 3 2 2 7" xfId="9098" xr:uid="{617EA3A5-5A11-432A-9A85-FF16B539DAC6}"/>
    <cellStyle name="20% - Accent4 2 3 2 3" xfId="1199" xr:uid="{291929EA-6A55-4869-8539-A537A73394C6}"/>
    <cellStyle name="20% - Accent4 2 3 2 3 2" xfId="5331" xr:uid="{F96556A8-3B64-4F79-B3C8-C112C8FAE492}"/>
    <cellStyle name="20% - Accent4 2 3 2 4" xfId="2027" xr:uid="{2B28865C-D4C8-4ACD-8E11-7EC9F13130A9}"/>
    <cellStyle name="20% - Accent4 2 3 2 4 2" xfId="6158" xr:uid="{90EF8246-A1FA-4A3E-B91A-9C1DA8C075A0}"/>
    <cellStyle name="20% - Accent4 2 3 2 5" xfId="2851" xr:uid="{8595C4BE-962A-4D4A-9828-EB9E01D39ED2}"/>
    <cellStyle name="20% - Accent4 2 3 2 5 2" xfId="6982" xr:uid="{9E78281D-F4B9-433C-826C-EA15274E75CA}"/>
    <cellStyle name="20% - Accent4 2 3 2 6" xfId="3675" xr:uid="{17DD80F8-15E8-4A2D-9DBB-BA9792E313DF}"/>
    <cellStyle name="20% - Accent4 2 3 2 6 2" xfId="7834" xr:uid="{31BBBEB8-D774-4114-88BF-FCB6415E5C38}"/>
    <cellStyle name="20% - Accent4 2 3 2 7" xfId="4505" xr:uid="{0AC9ED66-5506-4168-9327-0D2A18C64C14}"/>
    <cellStyle name="20% - Accent4 2 3 2 8" xfId="8681" xr:uid="{17D8289E-EBEB-4D11-9286-655B4BFA0F86}"/>
    <cellStyle name="20% - Accent4 2 3 3" xfId="582" xr:uid="{00000000-0005-0000-0000-0000CC000000}"/>
    <cellStyle name="20% - Accent4 2 3 3 2" xfId="1408" xr:uid="{C91F49AE-0792-452F-8943-D165F6BF5079}"/>
    <cellStyle name="20% - Accent4 2 3 3 2 2" xfId="5540" xr:uid="{29E81734-8328-476F-B070-BC2C6EA37738}"/>
    <cellStyle name="20% - Accent4 2 3 3 3" xfId="2236" xr:uid="{18EE7AF2-49E7-4885-B716-B5D208B0D9A3}"/>
    <cellStyle name="20% - Accent4 2 3 3 3 2" xfId="6367" xr:uid="{BD729CE8-CCF1-48AA-B8BF-742A90A45F01}"/>
    <cellStyle name="20% - Accent4 2 3 3 4" xfId="3060" xr:uid="{2A352918-CC98-4564-A403-B4F89F881464}"/>
    <cellStyle name="20% - Accent4 2 3 3 4 2" xfId="7191" xr:uid="{0295F962-FBD0-4DA4-BBDE-E52CE5B1BF8A}"/>
    <cellStyle name="20% - Accent4 2 3 3 5" xfId="3884" xr:uid="{D9BF6CBE-2C3B-441B-A541-5C9C81AC0746}"/>
    <cellStyle name="20% - Accent4 2 3 3 5 2" xfId="8043" xr:uid="{C0554DA7-6FFD-40BB-99C5-4132759AF7B0}"/>
    <cellStyle name="20% - Accent4 2 3 3 6" xfId="4714" xr:uid="{F1F3A044-28CC-4D1A-8FE9-29113CCB034B}"/>
    <cellStyle name="20% - Accent4 2 3 3 7" xfId="8890" xr:uid="{8B7D1251-4688-40E6-974C-BEB3D466764C}"/>
    <cellStyle name="20% - Accent4 2 3 4" xfId="990" xr:uid="{42B5461E-909D-4C30-9DB2-29E76B1FDFA9}"/>
    <cellStyle name="20% - Accent4 2 3 4 2" xfId="5122" xr:uid="{948CEFBC-EBA1-4C70-8F3D-C37D7A934F4B}"/>
    <cellStyle name="20% - Accent4 2 3 5" xfId="1818" xr:uid="{15FF858D-EDA8-4318-9BB1-A2D090F54241}"/>
    <cellStyle name="20% - Accent4 2 3 5 2" xfId="5949" xr:uid="{23B75E92-B5D0-43C1-9B03-C843053512AA}"/>
    <cellStyle name="20% - Accent4 2 3 6" xfId="2642" xr:uid="{8918A9F3-9235-4920-B36A-3F9721A399B1}"/>
    <cellStyle name="20% - Accent4 2 3 6 2" xfId="6773" xr:uid="{48C5A4A4-0D51-4EE5-B29A-72E6633571EA}"/>
    <cellStyle name="20% - Accent4 2 3 7" xfId="3466" xr:uid="{D2CF52CA-D8AA-4401-BB33-7B61B82A8D93}"/>
    <cellStyle name="20% - Accent4 2 3 7 2" xfId="7625" xr:uid="{A3680927-357F-4111-87FC-A73E0C0B3FD9}"/>
    <cellStyle name="20% - Accent4 2 3 8" xfId="4296" xr:uid="{10FA33AD-8408-447D-929B-A935A397DEE9}"/>
    <cellStyle name="20% - Accent4 2 3 9" xfId="8472" xr:uid="{DE3C16AE-30B3-443A-ACB1-3760C460452F}"/>
    <cellStyle name="20% - Accent4 2 4" xfId="269" xr:uid="{00000000-0005-0000-0000-0000CD000000}"/>
    <cellStyle name="20% - Accent4 2 4 2" xfId="686" xr:uid="{00000000-0005-0000-0000-0000CE000000}"/>
    <cellStyle name="20% - Accent4 2 4 2 2" xfId="1512" xr:uid="{2005BC9B-9B7E-4E13-A215-1535E0E46D34}"/>
    <cellStyle name="20% - Accent4 2 4 2 2 2" xfId="5644" xr:uid="{AFCC9234-BA18-44C7-A4A1-C1B810344C63}"/>
    <cellStyle name="20% - Accent4 2 4 2 3" xfId="2340" xr:uid="{B7422B89-0A0B-4B2D-8FCD-D8B58A3007FD}"/>
    <cellStyle name="20% - Accent4 2 4 2 3 2" xfId="6471" xr:uid="{DFDB5B14-1C1A-464D-9103-3565D74D42A1}"/>
    <cellStyle name="20% - Accent4 2 4 2 4" xfId="3164" xr:uid="{820896E6-5C0E-42CC-8D8F-0C9BDAACEE4B}"/>
    <cellStyle name="20% - Accent4 2 4 2 4 2" xfId="7295" xr:uid="{31B15690-5F2D-41FE-B316-E82AE5D43B97}"/>
    <cellStyle name="20% - Accent4 2 4 2 5" xfId="3988" xr:uid="{543993F8-0CF7-41B2-94FE-AF0711773A54}"/>
    <cellStyle name="20% - Accent4 2 4 2 5 2" xfId="8147" xr:uid="{610E95B8-66BF-4A52-8871-BB286A0D27A6}"/>
    <cellStyle name="20% - Accent4 2 4 2 6" xfId="4818" xr:uid="{74A18CA4-95AB-4067-AC68-931FA9CAF4B1}"/>
    <cellStyle name="20% - Accent4 2 4 2 7" xfId="8994" xr:uid="{9C728B42-6676-432A-93B1-1FA13365E011}"/>
    <cellStyle name="20% - Accent4 2 4 3" xfId="1095" xr:uid="{F3D79F7D-26F6-4DD7-A283-C554B5854065}"/>
    <cellStyle name="20% - Accent4 2 4 3 2" xfId="5227" xr:uid="{2E66DDAD-B0AE-4195-97EB-1E72F95817E5}"/>
    <cellStyle name="20% - Accent4 2 4 4" xfId="1923" xr:uid="{7A810708-4EC1-4B01-A6E3-DC883E3ACF2C}"/>
    <cellStyle name="20% - Accent4 2 4 4 2" xfId="6054" xr:uid="{BA9DBAAD-4FE6-4382-9209-B9488D472F77}"/>
    <cellStyle name="20% - Accent4 2 4 5" xfId="2747" xr:uid="{FDF92AE5-D20A-4324-8B62-E432F00D217E}"/>
    <cellStyle name="20% - Accent4 2 4 5 2" xfId="6878" xr:uid="{A0660530-7B4F-4FD0-807E-B5783A028146}"/>
    <cellStyle name="20% - Accent4 2 4 6" xfId="3571" xr:uid="{0F6B6AEC-628F-4525-81D5-AA20409888FF}"/>
    <cellStyle name="20% - Accent4 2 4 6 2" xfId="7730" xr:uid="{63CD0E93-860D-49C8-B180-BB42195EBA59}"/>
    <cellStyle name="20% - Accent4 2 4 7" xfId="4401" xr:uid="{9114A982-F8C4-4949-9157-0EC47C5EF22A}"/>
    <cellStyle name="20% - Accent4 2 4 8" xfId="8577" xr:uid="{B141307E-C882-48A9-9331-10713312533B}"/>
    <cellStyle name="20% - Accent4 2 5" xfId="478" xr:uid="{00000000-0005-0000-0000-0000CF000000}"/>
    <cellStyle name="20% - Accent4 2 5 2" xfId="1304" xr:uid="{63A43F8E-8984-4FF5-ABB1-FB44CD7E685C}"/>
    <cellStyle name="20% - Accent4 2 5 2 2" xfId="5436" xr:uid="{D1636820-C4CB-4311-9C26-252BBF7711E3}"/>
    <cellStyle name="20% - Accent4 2 5 3" xfId="2132" xr:uid="{6FBF075A-2042-4927-8E78-8152DD2C1E78}"/>
    <cellStyle name="20% - Accent4 2 5 3 2" xfId="6263" xr:uid="{BD3D6487-762F-49FC-8495-A51BADB8C714}"/>
    <cellStyle name="20% - Accent4 2 5 4" xfId="2956" xr:uid="{66FED386-4F18-414A-87B3-9813EBD08BC9}"/>
    <cellStyle name="20% - Accent4 2 5 4 2" xfId="7087" xr:uid="{5278CAB3-2DC3-42B0-8EB0-CB50D6B4A78A}"/>
    <cellStyle name="20% - Accent4 2 5 5" xfId="3780" xr:uid="{CF6B99D2-4017-41AF-B027-C8A4BB1FB316}"/>
    <cellStyle name="20% - Accent4 2 5 5 2" xfId="7939" xr:uid="{852BE227-646B-4ADD-B036-77DCEAF311A8}"/>
    <cellStyle name="20% - Accent4 2 5 6" xfId="4610" xr:uid="{40C47D9F-D892-49B4-B911-3A5A891E1F17}"/>
    <cellStyle name="20% - Accent4 2 5 7" xfId="8786" xr:uid="{DAD579D9-08E6-4AD9-98AA-459BE3AE5EB8}"/>
    <cellStyle name="20% - Accent4 2 6" xfId="884" xr:uid="{050B7D9F-94F0-4712-879D-A7D20F98AC7B}"/>
    <cellStyle name="20% - Accent4 2 6 2" xfId="5016" xr:uid="{FA9FE6AD-56D3-4D4E-A017-39EEA5A189AC}"/>
    <cellStyle name="20% - Accent4 2 7" xfId="1712" xr:uid="{C72103D5-51C4-4146-B215-52293B3E9C24}"/>
    <cellStyle name="20% - Accent4 2 7 2" xfId="5843" xr:uid="{7D0F01CA-DE41-4484-9E40-0DFDEB76C8A6}"/>
    <cellStyle name="20% - Accent4 2 8" xfId="2536" xr:uid="{88D1714E-B5F7-4F30-A69C-6BD4E0491A89}"/>
    <cellStyle name="20% - Accent4 2 8 2" xfId="6667" xr:uid="{D091AFD8-884D-477B-8EE3-24ACE7B5BCA7}"/>
    <cellStyle name="20% - Accent4 2 9" xfId="3360" xr:uid="{4D92F96D-E7CF-4740-B258-FEB14527772E}"/>
    <cellStyle name="20% - Accent4 2 9 2" xfId="7519" xr:uid="{485C25C7-135C-4170-B28E-895AABAFCACC}"/>
    <cellStyle name="20% - Accent4 3" xfId="71" xr:uid="{00000000-0005-0000-0000-0000D0000000}"/>
    <cellStyle name="20% - Accent4 3 10" xfId="4203" xr:uid="{E1910FA2-19AD-41DE-8B80-071E0ED3D7A2}"/>
    <cellStyle name="20% - Accent4 3 11" xfId="8379" xr:uid="{8BEC5B4C-719F-44D7-8B1F-482784BDD203}"/>
    <cellStyle name="20% - Accent4 3 2" xfId="124" xr:uid="{00000000-0005-0000-0000-0000D1000000}"/>
    <cellStyle name="20% - Accent4 3 2 10" xfId="8432" xr:uid="{F062C637-E3FF-4066-8BA8-4D9414885328}"/>
    <cellStyle name="20% - Accent4 3 2 2" xfId="229" xr:uid="{00000000-0005-0000-0000-0000D2000000}"/>
    <cellStyle name="20% - Accent4 3 2 2 2" xfId="438" xr:uid="{00000000-0005-0000-0000-0000D3000000}"/>
    <cellStyle name="20% - Accent4 3 2 2 2 2" xfId="855" xr:uid="{00000000-0005-0000-0000-0000D4000000}"/>
    <cellStyle name="20% - Accent4 3 2 2 2 2 2" xfId="1681" xr:uid="{AFC4FE4C-360F-470E-AC67-52D963FDE2AD}"/>
    <cellStyle name="20% - Accent4 3 2 2 2 2 2 2" xfId="5813" xr:uid="{BE7D06E2-83EE-42BC-BC1A-1E0021BD106C}"/>
    <cellStyle name="20% - Accent4 3 2 2 2 2 3" xfId="2509" xr:uid="{2D5FE3CD-0CC5-4B37-AD83-EC13EB00FF05}"/>
    <cellStyle name="20% - Accent4 3 2 2 2 2 3 2" xfId="6640" xr:uid="{B0BDA84F-F7B5-4F86-97AA-9124A3F6C041}"/>
    <cellStyle name="20% - Accent4 3 2 2 2 2 4" xfId="3333" xr:uid="{FA81419E-B9AD-4C32-89EC-31EA635FCE36}"/>
    <cellStyle name="20% - Accent4 3 2 2 2 2 4 2" xfId="7464" xr:uid="{DCEB8BD0-C171-44DD-9C8F-6A8959AB3470}"/>
    <cellStyle name="20% - Accent4 3 2 2 2 2 5" xfId="4157" xr:uid="{794FB379-9F3C-457F-A2BB-F31F84C04CD1}"/>
    <cellStyle name="20% - Accent4 3 2 2 2 2 5 2" xfId="8316" xr:uid="{7D3AA6EA-D67B-47AF-B71A-3F5EB2416095}"/>
    <cellStyle name="20% - Accent4 3 2 2 2 2 6" xfId="4987" xr:uid="{647BC3EA-120B-4742-8F23-D781D6A228B5}"/>
    <cellStyle name="20% - Accent4 3 2 2 2 2 7" xfId="9163" xr:uid="{1021454F-E3A8-4710-9CF2-2C906C60F642}"/>
    <cellStyle name="20% - Accent4 3 2 2 2 3" xfId="1264" xr:uid="{DE3D312E-D763-48DB-88B8-2EF55DD14A88}"/>
    <cellStyle name="20% - Accent4 3 2 2 2 3 2" xfId="5396" xr:uid="{5556BC1B-B85E-41CE-9A4B-8CF19CA63F3D}"/>
    <cellStyle name="20% - Accent4 3 2 2 2 4" xfId="2092" xr:uid="{EC0FDAF1-8AD8-4738-A768-48C5476452CC}"/>
    <cellStyle name="20% - Accent4 3 2 2 2 4 2" xfId="6223" xr:uid="{F04234ED-6F66-4C0C-A92A-DDAFBAC6A51C}"/>
    <cellStyle name="20% - Accent4 3 2 2 2 5" xfId="2916" xr:uid="{50656DBA-2A15-41F6-BEEF-C6F4F5B316A9}"/>
    <cellStyle name="20% - Accent4 3 2 2 2 5 2" xfId="7047" xr:uid="{9D85A344-D9F1-40B0-A389-2E64FE2FA1F5}"/>
    <cellStyle name="20% - Accent4 3 2 2 2 6" xfId="3740" xr:uid="{423E6E35-61AE-47D0-86EB-07603BE733CF}"/>
    <cellStyle name="20% - Accent4 3 2 2 2 6 2" xfId="7899" xr:uid="{4774B7F0-8EC8-4E64-95BA-01703A3EDD8F}"/>
    <cellStyle name="20% - Accent4 3 2 2 2 7" xfId="4570" xr:uid="{BEC1084F-D4BA-4E3B-A21C-71865D921DB9}"/>
    <cellStyle name="20% - Accent4 3 2 2 2 8" xfId="8746" xr:uid="{213F852F-181B-4B66-A1C5-43792E7B0188}"/>
    <cellStyle name="20% - Accent4 3 2 2 3" xfId="647" xr:uid="{00000000-0005-0000-0000-0000D5000000}"/>
    <cellStyle name="20% - Accent4 3 2 2 3 2" xfId="1473" xr:uid="{6D7D3DDB-7491-4FC7-BA61-A8A08249B640}"/>
    <cellStyle name="20% - Accent4 3 2 2 3 2 2" xfId="5605" xr:uid="{D75C5B0E-F403-4B54-96E3-B0FB57598431}"/>
    <cellStyle name="20% - Accent4 3 2 2 3 3" xfId="2301" xr:uid="{F7E92839-C697-4F22-A714-FFD738304C33}"/>
    <cellStyle name="20% - Accent4 3 2 2 3 3 2" xfId="6432" xr:uid="{1E57BEF9-DB70-4276-AA53-992C5946004B}"/>
    <cellStyle name="20% - Accent4 3 2 2 3 4" xfId="3125" xr:uid="{A3D4420F-6B24-4DE8-9866-407E5ADF78E7}"/>
    <cellStyle name="20% - Accent4 3 2 2 3 4 2" xfId="7256" xr:uid="{38FB8FEF-6B00-40EA-93EB-37AF66CA6A76}"/>
    <cellStyle name="20% - Accent4 3 2 2 3 5" xfId="3949" xr:uid="{65EA1CAD-537B-426C-A081-0E89FBB8FCB8}"/>
    <cellStyle name="20% - Accent4 3 2 2 3 5 2" xfId="8108" xr:uid="{3AD54A9E-4A8B-49B1-AC9F-D075A628BD3A}"/>
    <cellStyle name="20% - Accent4 3 2 2 3 6" xfId="4779" xr:uid="{595A8E02-41E5-4365-BCEA-A50871114752}"/>
    <cellStyle name="20% - Accent4 3 2 2 3 7" xfId="8955" xr:uid="{F2369744-C434-4962-9E4D-2E8FF43B9546}"/>
    <cellStyle name="20% - Accent4 3 2 2 4" xfId="1055" xr:uid="{547FE145-B16F-4639-89F5-44A3F5CF26DA}"/>
    <cellStyle name="20% - Accent4 3 2 2 4 2" xfId="5187" xr:uid="{A963BE7E-C7B5-4F49-AB82-9A7BCC784188}"/>
    <cellStyle name="20% - Accent4 3 2 2 5" xfId="1883" xr:uid="{9CA40BBD-84A4-4897-A535-7F54054E3F4C}"/>
    <cellStyle name="20% - Accent4 3 2 2 5 2" xfId="6014" xr:uid="{3AEAEE9C-9D62-410B-AB41-0E82E90637E0}"/>
    <cellStyle name="20% - Accent4 3 2 2 6" xfId="2707" xr:uid="{51B984C6-0449-4064-AB45-6786A490572E}"/>
    <cellStyle name="20% - Accent4 3 2 2 6 2" xfId="6838" xr:uid="{60EB4FED-E369-4CD9-A4CE-3A49486BBD9E}"/>
    <cellStyle name="20% - Accent4 3 2 2 7" xfId="3531" xr:uid="{7B4EBE0E-25A5-4097-ABF3-F82DB040843D}"/>
    <cellStyle name="20% - Accent4 3 2 2 7 2" xfId="7690" xr:uid="{01DD25E5-1DA5-4F65-9EB8-735831261F8F}"/>
    <cellStyle name="20% - Accent4 3 2 2 8" xfId="4361" xr:uid="{7ED2C302-94A0-4377-A43B-62BCE0ED9219}"/>
    <cellStyle name="20% - Accent4 3 2 2 9" xfId="8537" xr:uid="{698AC775-4E4E-4F2A-8B4F-8DE0385C7CC8}"/>
    <cellStyle name="20% - Accent4 3 2 3" xfId="334" xr:uid="{00000000-0005-0000-0000-0000D6000000}"/>
    <cellStyle name="20% - Accent4 3 2 3 2" xfId="751" xr:uid="{00000000-0005-0000-0000-0000D7000000}"/>
    <cellStyle name="20% - Accent4 3 2 3 2 2" xfId="1577" xr:uid="{4FE82A55-636A-4566-BCEC-C407F93AC676}"/>
    <cellStyle name="20% - Accent4 3 2 3 2 2 2" xfId="5709" xr:uid="{E6FF1413-D08B-4FD1-98A2-51263F2D9145}"/>
    <cellStyle name="20% - Accent4 3 2 3 2 3" xfId="2405" xr:uid="{EEBCB0EB-D313-4437-B3A5-BD58B74DAE91}"/>
    <cellStyle name="20% - Accent4 3 2 3 2 3 2" xfId="6536" xr:uid="{41B8C235-EA96-4030-A369-BDD26F04B19A}"/>
    <cellStyle name="20% - Accent4 3 2 3 2 4" xfId="3229" xr:uid="{F4D5AEB5-55D5-415D-BDAF-2D6513B54A6A}"/>
    <cellStyle name="20% - Accent4 3 2 3 2 4 2" xfId="7360" xr:uid="{C1D621BB-62B9-4FD3-9A55-589281A106DB}"/>
    <cellStyle name="20% - Accent4 3 2 3 2 5" xfId="4053" xr:uid="{485B135E-898B-4330-A634-CAE6FC868FFB}"/>
    <cellStyle name="20% - Accent4 3 2 3 2 5 2" xfId="8212" xr:uid="{B98469E9-DDBF-49B7-8C4A-5E2AA190BC69}"/>
    <cellStyle name="20% - Accent4 3 2 3 2 6" xfId="4883" xr:uid="{FA055A6F-49A7-421F-A629-B56F3CD3B20C}"/>
    <cellStyle name="20% - Accent4 3 2 3 2 7" xfId="9059" xr:uid="{79FEB37C-3C78-4641-B043-940FCDFB4601}"/>
    <cellStyle name="20% - Accent4 3 2 3 3" xfId="1160" xr:uid="{B714203E-C813-4AEE-9287-B9222498F415}"/>
    <cellStyle name="20% - Accent4 3 2 3 3 2" xfId="5292" xr:uid="{128C4378-F59D-4816-BBA4-539144945C8B}"/>
    <cellStyle name="20% - Accent4 3 2 3 4" xfId="1988" xr:uid="{F0E955E3-66F6-41F1-8046-5EA81598386A}"/>
    <cellStyle name="20% - Accent4 3 2 3 4 2" xfId="6119" xr:uid="{9B169D48-0A86-41A1-AEE1-EAB809630570}"/>
    <cellStyle name="20% - Accent4 3 2 3 5" xfId="2812" xr:uid="{EC724736-21BD-4666-BFD6-E52F3496E206}"/>
    <cellStyle name="20% - Accent4 3 2 3 5 2" xfId="6943" xr:uid="{8F246FCB-CC44-49B6-82C9-23A10B118121}"/>
    <cellStyle name="20% - Accent4 3 2 3 6" xfId="3636" xr:uid="{06420745-3896-4AF6-A4E6-3AA24304A4DC}"/>
    <cellStyle name="20% - Accent4 3 2 3 6 2" xfId="7795" xr:uid="{5F361AB3-9BBD-4CA9-96B9-BC176FF8F9B3}"/>
    <cellStyle name="20% - Accent4 3 2 3 7" xfId="4466" xr:uid="{EEF1DD28-DA2B-444D-A5D1-B0C8B0749390}"/>
    <cellStyle name="20% - Accent4 3 2 3 8" xfId="8642" xr:uid="{69857E9A-9B22-41FF-94AB-3D5FEC190220}"/>
    <cellStyle name="20% - Accent4 3 2 4" xfId="543" xr:uid="{00000000-0005-0000-0000-0000D8000000}"/>
    <cellStyle name="20% - Accent4 3 2 4 2" xfId="1369" xr:uid="{3E568D5C-BE63-49F6-BE2D-ADE0046253EA}"/>
    <cellStyle name="20% - Accent4 3 2 4 2 2" xfId="5501" xr:uid="{B5AAE54F-373E-4CB8-BB7B-0A7EEB2CAF79}"/>
    <cellStyle name="20% - Accent4 3 2 4 3" xfId="2197" xr:uid="{796AC0B0-C673-4F63-A4A2-8F017E3B20BA}"/>
    <cellStyle name="20% - Accent4 3 2 4 3 2" xfId="6328" xr:uid="{0BCAE4CE-570A-488F-A8F9-974083045424}"/>
    <cellStyle name="20% - Accent4 3 2 4 4" xfId="3021" xr:uid="{837D4EC5-9D3E-446B-A166-79B89994950A}"/>
    <cellStyle name="20% - Accent4 3 2 4 4 2" xfId="7152" xr:uid="{72B44194-936C-469F-94C7-067D7B8F8399}"/>
    <cellStyle name="20% - Accent4 3 2 4 5" xfId="3845" xr:uid="{D551FE84-D4BE-4CAC-811A-5C24A8862E7D}"/>
    <cellStyle name="20% - Accent4 3 2 4 5 2" xfId="8004" xr:uid="{87E1EC86-CEEF-4985-BC13-B8B7678386CA}"/>
    <cellStyle name="20% - Accent4 3 2 4 6" xfId="4675" xr:uid="{F3AC2829-94B4-44B1-B2E8-51861F5CA22F}"/>
    <cellStyle name="20% - Accent4 3 2 4 7" xfId="8851" xr:uid="{2580ABFE-71D8-44BD-AB4F-038ADA001E85}"/>
    <cellStyle name="20% - Accent4 3 2 5" xfId="950" xr:uid="{D331D6A5-55EB-49CA-88DE-C5A44CBF61A1}"/>
    <cellStyle name="20% - Accent4 3 2 5 2" xfId="5082" xr:uid="{AAD801A9-5F9C-4A33-AF65-36CD8E5EDCF3}"/>
    <cellStyle name="20% - Accent4 3 2 6" xfId="1778" xr:uid="{70B1E8D0-1FC7-441E-802B-389E5002195B}"/>
    <cellStyle name="20% - Accent4 3 2 6 2" xfId="5909" xr:uid="{E8A57C65-38A2-4372-969C-FB3E4F595AC2}"/>
    <cellStyle name="20% - Accent4 3 2 7" xfId="2602" xr:uid="{A712591D-68B1-4385-8EB3-6FC65DB55850}"/>
    <cellStyle name="20% - Accent4 3 2 7 2" xfId="6733" xr:uid="{C2E6AFE7-B00E-46DA-9493-CA1D5498C8C5}"/>
    <cellStyle name="20% - Accent4 3 2 8" xfId="3426" xr:uid="{032A3455-BEE2-41A4-AD46-47EA6FBDCAA2}"/>
    <cellStyle name="20% - Accent4 3 2 8 2" xfId="7585" xr:uid="{492B0E07-0363-410C-9EFE-6FADD47983DD}"/>
    <cellStyle name="20% - Accent4 3 2 9" xfId="4256" xr:uid="{3BCE85CE-553F-48D6-9035-34C5A8E44E38}"/>
    <cellStyle name="20% - Accent4 3 3" xfId="177" xr:uid="{00000000-0005-0000-0000-0000D9000000}"/>
    <cellStyle name="20% - Accent4 3 3 2" xfId="386" xr:uid="{00000000-0005-0000-0000-0000DA000000}"/>
    <cellStyle name="20% - Accent4 3 3 2 2" xfId="803" xr:uid="{00000000-0005-0000-0000-0000DB000000}"/>
    <cellStyle name="20% - Accent4 3 3 2 2 2" xfId="1629" xr:uid="{0FB66C21-5F77-4082-9C7D-8E7CA901EE83}"/>
    <cellStyle name="20% - Accent4 3 3 2 2 2 2" xfId="5761" xr:uid="{6541AD10-7DDA-4EC3-A086-C270942D7AC2}"/>
    <cellStyle name="20% - Accent4 3 3 2 2 3" xfId="2457" xr:uid="{B1954061-7958-4A6E-9025-C80AFCF6FE56}"/>
    <cellStyle name="20% - Accent4 3 3 2 2 3 2" xfId="6588" xr:uid="{FE61E851-EED0-45CF-9B11-C4C2CD27F8F7}"/>
    <cellStyle name="20% - Accent4 3 3 2 2 4" xfId="3281" xr:uid="{84CF5757-1E4B-4A95-881A-BCAD80677399}"/>
    <cellStyle name="20% - Accent4 3 3 2 2 4 2" xfId="7412" xr:uid="{12B7C5F6-CE5A-4910-A56F-8EEF6E5289D9}"/>
    <cellStyle name="20% - Accent4 3 3 2 2 5" xfId="4105" xr:uid="{EFE86CD6-B347-4D5C-B21C-741F8694EE0B}"/>
    <cellStyle name="20% - Accent4 3 3 2 2 5 2" xfId="8264" xr:uid="{F644A0CC-BFE3-43AD-892A-E2425454310E}"/>
    <cellStyle name="20% - Accent4 3 3 2 2 6" xfId="4935" xr:uid="{83A87A65-66FE-49B9-8F13-342C00DA7CDF}"/>
    <cellStyle name="20% - Accent4 3 3 2 2 7" xfId="9111" xr:uid="{E46A86FF-AB1E-48E5-8325-51BC8564416E}"/>
    <cellStyle name="20% - Accent4 3 3 2 3" xfId="1212" xr:uid="{A740E8A5-FFE1-4A74-8862-038BD8AA016B}"/>
    <cellStyle name="20% - Accent4 3 3 2 3 2" xfId="5344" xr:uid="{291F928A-9835-4C2B-9712-27A37A353EA2}"/>
    <cellStyle name="20% - Accent4 3 3 2 4" xfId="2040" xr:uid="{35F0F080-E4FF-43F8-8A15-A18753394724}"/>
    <cellStyle name="20% - Accent4 3 3 2 4 2" xfId="6171" xr:uid="{FAF8CCE5-6515-4205-AB02-98516C3A599B}"/>
    <cellStyle name="20% - Accent4 3 3 2 5" xfId="2864" xr:uid="{150DAD9A-DEA6-477A-AE49-99199B939EB9}"/>
    <cellStyle name="20% - Accent4 3 3 2 5 2" xfId="6995" xr:uid="{4C0C9408-3E5B-44BA-A98F-B35E3473DCBA}"/>
    <cellStyle name="20% - Accent4 3 3 2 6" xfId="3688" xr:uid="{EE2F948F-5337-428B-B4E7-664E53DE1A3A}"/>
    <cellStyle name="20% - Accent4 3 3 2 6 2" xfId="7847" xr:uid="{B593A15A-7D67-4509-B9B9-E311AF600529}"/>
    <cellStyle name="20% - Accent4 3 3 2 7" xfId="4518" xr:uid="{0D7E6949-1BAF-45F8-8741-42A68FAE06BE}"/>
    <cellStyle name="20% - Accent4 3 3 2 8" xfId="8694" xr:uid="{F1C91764-85AF-428F-B80C-30196095E0E6}"/>
    <cellStyle name="20% - Accent4 3 3 3" xfId="595" xr:uid="{00000000-0005-0000-0000-0000DC000000}"/>
    <cellStyle name="20% - Accent4 3 3 3 2" xfId="1421" xr:uid="{9C71D2A1-237A-426C-9FFC-FB5B47045266}"/>
    <cellStyle name="20% - Accent4 3 3 3 2 2" xfId="5553" xr:uid="{BA8454AE-085D-4342-9D22-948222070E4F}"/>
    <cellStyle name="20% - Accent4 3 3 3 3" xfId="2249" xr:uid="{1AD4B28A-3DE0-46AC-BB06-A3BFE13B6CA4}"/>
    <cellStyle name="20% - Accent4 3 3 3 3 2" xfId="6380" xr:uid="{88A9ACD1-C7F3-42E5-88F6-6EFA2E21C597}"/>
    <cellStyle name="20% - Accent4 3 3 3 4" xfId="3073" xr:uid="{26104691-0450-4591-BEDC-33237DB647C9}"/>
    <cellStyle name="20% - Accent4 3 3 3 4 2" xfId="7204" xr:uid="{D6BD0792-70F5-4925-98FB-F387061C9BB2}"/>
    <cellStyle name="20% - Accent4 3 3 3 5" xfId="3897" xr:uid="{332254A8-DABA-4E9C-9B23-CCEC1768EB8A}"/>
    <cellStyle name="20% - Accent4 3 3 3 5 2" xfId="8056" xr:uid="{687837CC-4452-4EDE-A80A-8AD6452DA7E8}"/>
    <cellStyle name="20% - Accent4 3 3 3 6" xfId="4727" xr:uid="{D798EA28-4E0E-4DCF-83C0-C8A882E36EA1}"/>
    <cellStyle name="20% - Accent4 3 3 3 7" xfId="8903" xr:uid="{8CC186A8-FFE8-4A35-9217-12BC5F487425}"/>
    <cellStyle name="20% - Accent4 3 3 4" xfId="1003" xr:uid="{B3AB619B-048A-4692-AB0E-A175FAA58759}"/>
    <cellStyle name="20% - Accent4 3 3 4 2" xfId="5135" xr:uid="{7DB8B88B-B4A7-4F33-BE86-034A06AFEC78}"/>
    <cellStyle name="20% - Accent4 3 3 5" xfId="1831" xr:uid="{324578EA-3A19-481F-A27E-4D3EF47BC5E1}"/>
    <cellStyle name="20% - Accent4 3 3 5 2" xfId="5962" xr:uid="{4F07649B-B098-40C1-96BD-CA708ADD2991}"/>
    <cellStyle name="20% - Accent4 3 3 6" xfId="2655" xr:uid="{51D2D188-076E-43A2-8FBE-69A8592FA509}"/>
    <cellStyle name="20% - Accent4 3 3 6 2" xfId="6786" xr:uid="{216E6B48-3194-47FC-8B87-B4CEC76976A1}"/>
    <cellStyle name="20% - Accent4 3 3 7" xfId="3479" xr:uid="{FD9E9F85-2528-4183-B553-9F61BEADE568}"/>
    <cellStyle name="20% - Accent4 3 3 7 2" xfId="7638" xr:uid="{734688F6-74DA-4DF7-89AB-DB5F73992F91}"/>
    <cellStyle name="20% - Accent4 3 3 8" xfId="4309" xr:uid="{F2526A09-546D-40B6-BADE-958A5BB2E771}"/>
    <cellStyle name="20% - Accent4 3 3 9" xfId="8485" xr:uid="{0CAC544E-4901-4EF3-9B7E-6D205A01923D}"/>
    <cellStyle name="20% - Accent4 3 4" xfId="282" xr:uid="{00000000-0005-0000-0000-0000DD000000}"/>
    <cellStyle name="20% - Accent4 3 4 2" xfId="699" xr:uid="{00000000-0005-0000-0000-0000DE000000}"/>
    <cellStyle name="20% - Accent4 3 4 2 2" xfId="1525" xr:uid="{3241C249-BECD-4866-BA3F-BB5A7766BCA5}"/>
    <cellStyle name="20% - Accent4 3 4 2 2 2" xfId="5657" xr:uid="{862C2355-1B60-4EA8-A979-9C2871207DCA}"/>
    <cellStyle name="20% - Accent4 3 4 2 3" xfId="2353" xr:uid="{836EDB94-1ADE-48C8-8498-2C41E18D95C3}"/>
    <cellStyle name="20% - Accent4 3 4 2 3 2" xfId="6484" xr:uid="{54C2ED08-D13D-4090-9005-363A8B61CE53}"/>
    <cellStyle name="20% - Accent4 3 4 2 4" xfId="3177" xr:uid="{D1D1B5E2-5F3C-4A60-BECA-81AC8D80F1F2}"/>
    <cellStyle name="20% - Accent4 3 4 2 4 2" xfId="7308" xr:uid="{952211F5-22C4-46C2-A01D-98963A1AB696}"/>
    <cellStyle name="20% - Accent4 3 4 2 5" xfId="4001" xr:uid="{AA8C4BC0-A0A9-4A19-81CC-C67D928C5EC0}"/>
    <cellStyle name="20% - Accent4 3 4 2 5 2" xfId="8160" xr:uid="{A4CBC0A4-2C11-4489-8C85-F7E222BBDD38}"/>
    <cellStyle name="20% - Accent4 3 4 2 6" xfId="4831" xr:uid="{B0DF3894-F41D-4812-97EE-0D90D3E19BC8}"/>
    <cellStyle name="20% - Accent4 3 4 2 7" xfId="9007" xr:uid="{D39FC367-00FC-433C-8D62-842054071D17}"/>
    <cellStyle name="20% - Accent4 3 4 3" xfId="1108" xr:uid="{E12443B9-0809-4195-91DB-8D81CDBCAC4F}"/>
    <cellStyle name="20% - Accent4 3 4 3 2" xfId="5240" xr:uid="{2E35CFFC-0AA8-42CC-A742-EB4727CBC53D}"/>
    <cellStyle name="20% - Accent4 3 4 4" xfId="1936" xr:uid="{4AF5EB84-875C-4689-AA2B-8EE9D92E1C44}"/>
    <cellStyle name="20% - Accent4 3 4 4 2" xfId="6067" xr:uid="{8A2B4183-C2AA-479D-91D5-5AA092BE2119}"/>
    <cellStyle name="20% - Accent4 3 4 5" xfId="2760" xr:uid="{152ED936-338A-4B2B-9B44-8C1095020C3C}"/>
    <cellStyle name="20% - Accent4 3 4 5 2" xfId="6891" xr:uid="{A2C4DDDC-6346-4278-8D17-74A212E80FD6}"/>
    <cellStyle name="20% - Accent4 3 4 6" xfId="3584" xr:uid="{72FB10B5-3A53-4339-8639-8FA18E15D9A0}"/>
    <cellStyle name="20% - Accent4 3 4 6 2" xfId="7743" xr:uid="{CEB0E7F3-94D3-469A-BB39-091CB30AC1FC}"/>
    <cellStyle name="20% - Accent4 3 4 7" xfId="4414" xr:uid="{68EC91A9-6AED-476F-AB6B-47A5E2D186FD}"/>
    <cellStyle name="20% - Accent4 3 4 8" xfId="8590" xr:uid="{278E7F84-C846-40C9-81EE-B35DEC69FBBE}"/>
    <cellStyle name="20% - Accent4 3 5" xfId="491" xr:uid="{00000000-0005-0000-0000-0000DF000000}"/>
    <cellStyle name="20% - Accent4 3 5 2" xfId="1317" xr:uid="{6E2C24FA-BF6C-4352-9B6C-D8A08BFF6EE1}"/>
    <cellStyle name="20% - Accent4 3 5 2 2" xfId="5449" xr:uid="{967F460F-C07B-4CE8-A302-3BC504312096}"/>
    <cellStyle name="20% - Accent4 3 5 3" xfId="2145" xr:uid="{66E8DC04-EFDB-4C67-9023-82621BE08C68}"/>
    <cellStyle name="20% - Accent4 3 5 3 2" xfId="6276" xr:uid="{BA8D4B27-016F-4DA6-9E1E-70EF24E8DC6B}"/>
    <cellStyle name="20% - Accent4 3 5 4" xfId="2969" xr:uid="{78EA918F-D32D-4B9E-B806-C9CCD8140B38}"/>
    <cellStyle name="20% - Accent4 3 5 4 2" xfId="7100" xr:uid="{819B5A8E-C4A6-48F7-BB3F-B3A0E8459803}"/>
    <cellStyle name="20% - Accent4 3 5 5" xfId="3793" xr:uid="{35813720-A7AA-4DEA-8AA3-7007B580616A}"/>
    <cellStyle name="20% - Accent4 3 5 5 2" xfId="7952" xr:uid="{6658030E-D1C2-4A3E-A5F8-78B04706A926}"/>
    <cellStyle name="20% - Accent4 3 5 6" xfId="4623" xr:uid="{D71F604C-6782-42EB-BC86-EF894DBB7504}"/>
    <cellStyle name="20% - Accent4 3 5 7" xfId="8799" xr:uid="{9E11E3DA-E6B4-4508-A119-558A707CE966}"/>
    <cellStyle name="20% - Accent4 3 6" xfId="897" xr:uid="{DA4F45B4-5605-412B-A723-A285F611FDCD}"/>
    <cellStyle name="20% - Accent4 3 6 2" xfId="5029" xr:uid="{1EDF8837-0D79-44A8-B32F-9A618B55ED55}"/>
    <cellStyle name="20% - Accent4 3 7" xfId="1725" xr:uid="{D61B105B-5ABA-4EAC-9959-10DE9C5525AA}"/>
    <cellStyle name="20% - Accent4 3 7 2" xfId="5856" xr:uid="{49D0E51C-6103-40C4-BE85-4607FC2FA3E5}"/>
    <cellStyle name="20% - Accent4 3 8" xfId="2549" xr:uid="{B2D96A08-E0C6-459A-8D3F-BC875C967041}"/>
    <cellStyle name="20% - Accent4 3 8 2" xfId="6680" xr:uid="{09E3D3FA-253E-48D6-8398-4904A7D8CFDE}"/>
    <cellStyle name="20% - Accent4 3 9" xfId="3373" xr:uid="{4A1F9B98-7EB2-4181-8792-69CAD78874AB}"/>
    <cellStyle name="20% - Accent4 3 9 2" xfId="7532" xr:uid="{54F48E9E-EF6F-4D75-A332-76A0FABCD239}"/>
    <cellStyle name="20% - Accent4 4" xfId="84" xr:uid="{00000000-0005-0000-0000-0000E0000000}"/>
    <cellStyle name="20% - Accent4 4 10" xfId="8392" xr:uid="{8DBA90D7-5CCB-4C57-B20E-BA82B6AF8D55}"/>
    <cellStyle name="20% - Accent4 4 2" xfId="190" xr:uid="{00000000-0005-0000-0000-0000E1000000}"/>
    <cellStyle name="20% - Accent4 4 2 2" xfId="399" xr:uid="{00000000-0005-0000-0000-0000E2000000}"/>
    <cellStyle name="20% - Accent4 4 2 2 2" xfId="816" xr:uid="{00000000-0005-0000-0000-0000E3000000}"/>
    <cellStyle name="20% - Accent4 4 2 2 2 2" xfId="1642" xr:uid="{3B242ACF-9AFF-4A3F-915C-E62EB07E3986}"/>
    <cellStyle name="20% - Accent4 4 2 2 2 2 2" xfId="5774" xr:uid="{9948BE2C-CC1A-4AD1-AC7F-FC73F1B4BDF3}"/>
    <cellStyle name="20% - Accent4 4 2 2 2 3" xfId="2470" xr:uid="{F6FF38F9-5383-4ABA-8761-A2EF1FE3D22E}"/>
    <cellStyle name="20% - Accent4 4 2 2 2 3 2" xfId="6601" xr:uid="{A30CC17A-094D-480D-AB4E-CB6A510C69B4}"/>
    <cellStyle name="20% - Accent4 4 2 2 2 4" xfId="3294" xr:uid="{93A55A70-E3D6-4B13-BB79-F17EEA5A5AAA}"/>
    <cellStyle name="20% - Accent4 4 2 2 2 4 2" xfId="7425" xr:uid="{14081357-E31E-4B6F-8711-02C1F6DE4EAC}"/>
    <cellStyle name="20% - Accent4 4 2 2 2 5" xfId="4118" xr:uid="{B65C2183-0424-4651-BB62-5F8341A1E26F}"/>
    <cellStyle name="20% - Accent4 4 2 2 2 5 2" xfId="8277" xr:uid="{3CEB9CE2-2CA2-4210-ABEB-129D327B956C}"/>
    <cellStyle name="20% - Accent4 4 2 2 2 6" xfId="4948" xr:uid="{266013BD-109B-4670-97B7-07C3E3DA93C7}"/>
    <cellStyle name="20% - Accent4 4 2 2 2 7" xfId="9124" xr:uid="{C413849C-9C61-4AB2-9C1C-2984DB58F09F}"/>
    <cellStyle name="20% - Accent4 4 2 2 3" xfId="1225" xr:uid="{5D09FEA1-9E70-4B53-97C5-34A4F23AEEEC}"/>
    <cellStyle name="20% - Accent4 4 2 2 3 2" xfId="5357" xr:uid="{B318E3B7-9082-4E8F-8772-D01BFB1C4457}"/>
    <cellStyle name="20% - Accent4 4 2 2 4" xfId="2053" xr:uid="{473F0716-440E-4271-ABAF-CB20E7DD4276}"/>
    <cellStyle name="20% - Accent4 4 2 2 4 2" xfId="6184" xr:uid="{53ED3765-2359-4EB4-8682-468B5A1FB9EE}"/>
    <cellStyle name="20% - Accent4 4 2 2 5" xfId="2877" xr:uid="{2E59DB4F-3A76-4CFD-9E4C-3210AD719693}"/>
    <cellStyle name="20% - Accent4 4 2 2 5 2" xfId="7008" xr:uid="{82E7A960-BBBA-4E3D-AA7C-91179ED8A0D3}"/>
    <cellStyle name="20% - Accent4 4 2 2 6" xfId="3701" xr:uid="{354904DE-E71D-431C-8B04-DD6D6F07D92A}"/>
    <cellStyle name="20% - Accent4 4 2 2 6 2" xfId="7860" xr:uid="{7B26853E-F2BF-4457-B5A4-37E863B6B89A}"/>
    <cellStyle name="20% - Accent4 4 2 2 7" xfId="4531" xr:uid="{D9FA7490-5F7A-40D2-8105-8ED7FB48CD04}"/>
    <cellStyle name="20% - Accent4 4 2 2 8" xfId="8707" xr:uid="{93908D51-CEDF-4C35-9B57-03C28CA12A57}"/>
    <cellStyle name="20% - Accent4 4 2 3" xfId="608" xr:uid="{00000000-0005-0000-0000-0000E4000000}"/>
    <cellStyle name="20% - Accent4 4 2 3 2" xfId="1434" xr:uid="{71D81725-18A8-4A80-A83A-B0D2F609D80F}"/>
    <cellStyle name="20% - Accent4 4 2 3 2 2" xfId="5566" xr:uid="{146F350F-CCBE-4483-BB47-D82B091A8B77}"/>
    <cellStyle name="20% - Accent4 4 2 3 3" xfId="2262" xr:uid="{0112AA2F-5646-46FB-BDEE-13D7463D8172}"/>
    <cellStyle name="20% - Accent4 4 2 3 3 2" xfId="6393" xr:uid="{91419315-2A57-4C25-9020-2F453C00B73A}"/>
    <cellStyle name="20% - Accent4 4 2 3 4" xfId="3086" xr:uid="{C1046F21-A3E3-4FE1-A89B-A476FE636967}"/>
    <cellStyle name="20% - Accent4 4 2 3 4 2" xfId="7217" xr:uid="{524261B9-503D-4971-A884-0351D88AA641}"/>
    <cellStyle name="20% - Accent4 4 2 3 5" xfId="3910" xr:uid="{67846936-2BC0-4E4A-9B09-0C41D145CFC6}"/>
    <cellStyle name="20% - Accent4 4 2 3 5 2" xfId="8069" xr:uid="{6FB984E0-62F3-4AE8-A7AF-C85F3AB8DAFB}"/>
    <cellStyle name="20% - Accent4 4 2 3 6" xfId="4740" xr:uid="{381EC35C-396C-4059-968E-ECBB885A1DDA}"/>
    <cellStyle name="20% - Accent4 4 2 3 7" xfId="8916" xr:uid="{05455E23-47B4-4FD2-9DE9-92746D29C4DC}"/>
    <cellStyle name="20% - Accent4 4 2 4" xfId="1016" xr:uid="{8DD2BF54-A218-4C61-B445-2916177E8606}"/>
    <cellStyle name="20% - Accent4 4 2 4 2" xfId="5148" xr:uid="{7813A500-E271-406A-877D-CCE8A880535B}"/>
    <cellStyle name="20% - Accent4 4 2 5" xfId="1844" xr:uid="{46CE9BD5-8212-4C01-979D-EC1F55C0829D}"/>
    <cellStyle name="20% - Accent4 4 2 5 2" xfId="5975" xr:uid="{7F1255AC-EBDC-4A1B-AF77-DE8DAD9F14AE}"/>
    <cellStyle name="20% - Accent4 4 2 6" xfId="2668" xr:uid="{5BFA004B-6DA8-4A46-A7ED-2E8E9A57EC37}"/>
    <cellStyle name="20% - Accent4 4 2 6 2" xfId="6799" xr:uid="{46666CD9-080A-4231-839A-791260E81349}"/>
    <cellStyle name="20% - Accent4 4 2 7" xfId="3492" xr:uid="{9978B1CC-0DA3-4F83-9741-DFEDBB94F869}"/>
    <cellStyle name="20% - Accent4 4 2 7 2" xfId="7651" xr:uid="{D3B988AB-7494-4666-B2BF-4381DF9C585F}"/>
    <cellStyle name="20% - Accent4 4 2 8" xfId="4322" xr:uid="{C7F2D271-0E22-4FFA-A451-858AC290B001}"/>
    <cellStyle name="20% - Accent4 4 2 9" xfId="8498" xr:uid="{B013EEC6-7424-49B6-BC1D-1AB70783AD83}"/>
    <cellStyle name="20% - Accent4 4 3" xfId="295" xr:uid="{00000000-0005-0000-0000-0000E5000000}"/>
    <cellStyle name="20% - Accent4 4 3 2" xfId="712" xr:uid="{00000000-0005-0000-0000-0000E6000000}"/>
    <cellStyle name="20% - Accent4 4 3 2 2" xfId="1538" xr:uid="{C32D491A-D66A-4130-810E-19C73361CF92}"/>
    <cellStyle name="20% - Accent4 4 3 2 2 2" xfId="5670" xr:uid="{9AFDDA66-F9BF-4913-9AA9-55BD7D83CED7}"/>
    <cellStyle name="20% - Accent4 4 3 2 3" xfId="2366" xr:uid="{AFD1C587-353A-4EEA-88DB-56D97D770E7E}"/>
    <cellStyle name="20% - Accent4 4 3 2 3 2" xfId="6497" xr:uid="{C55F67B7-6ACA-4DDB-87EC-1569153ABBEA}"/>
    <cellStyle name="20% - Accent4 4 3 2 4" xfId="3190" xr:uid="{BDCC042F-C516-484F-858D-D064D350031D}"/>
    <cellStyle name="20% - Accent4 4 3 2 4 2" xfId="7321" xr:uid="{280EB801-1E43-4CF5-8DED-74C72D0E12F2}"/>
    <cellStyle name="20% - Accent4 4 3 2 5" xfId="4014" xr:uid="{7A2436A3-B5B0-44B7-96EE-08EBFF520168}"/>
    <cellStyle name="20% - Accent4 4 3 2 5 2" xfId="8173" xr:uid="{3B5E9BE4-53F3-4A7A-BBF3-B4A7F83F548C}"/>
    <cellStyle name="20% - Accent4 4 3 2 6" xfId="4844" xr:uid="{79525817-7D7E-4155-9E77-6E7F5592EFC4}"/>
    <cellStyle name="20% - Accent4 4 3 2 7" xfId="9020" xr:uid="{5E1E8D83-BC44-4837-8313-9ED75035E931}"/>
    <cellStyle name="20% - Accent4 4 3 3" xfId="1121" xr:uid="{22F983D2-8FE5-4C76-8631-A0127B08DAF7}"/>
    <cellStyle name="20% - Accent4 4 3 3 2" xfId="5253" xr:uid="{5F8308B7-EFD4-4ECA-BFAB-0148ABA4AC58}"/>
    <cellStyle name="20% - Accent4 4 3 4" xfId="1949" xr:uid="{809E45BC-B2EA-4096-8FB4-3BFA27DB27C6}"/>
    <cellStyle name="20% - Accent4 4 3 4 2" xfId="6080" xr:uid="{E42AB770-4A2D-457C-82B7-6EF6F634B9D8}"/>
    <cellStyle name="20% - Accent4 4 3 5" xfId="2773" xr:uid="{464C3E34-C447-470D-9DBA-2A8164660938}"/>
    <cellStyle name="20% - Accent4 4 3 5 2" xfId="6904" xr:uid="{1F545484-8FA9-4547-877D-D1909E7645D0}"/>
    <cellStyle name="20% - Accent4 4 3 6" xfId="3597" xr:uid="{FF233E2A-EE9E-4BDF-88E7-3E2EF644E982}"/>
    <cellStyle name="20% - Accent4 4 3 6 2" xfId="7756" xr:uid="{CC926C5F-223D-4508-A38A-A01B0EC53C1B}"/>
    <cellStyle name="20% - Accent4 4 3 7" xfId="4427" xr:uid="{FE0BA405-6F78-4C50-B580-0EE99C4A5435}"/>
    <cellStyle name="20% - Accent4 4 3 8" xfId="8603" xr:uid="{9606A2A2-EB37-4758-8979-E6A4CFE71C6D}"/>
    <cellStyle name="20% - Accent4 4 4" xfId="504" xr:uid="{00000000-0005-0000-0000-0000E7000000}"/>
    <cellStyle name="20% - Accent4 4 4 2" xfId="1330" xr:uid="{50106EA5-7720-4D4F-B947-D744D49E401A}"/>
    <cellStyle name="20% - Accent4 4 4 2 2" xfId="5462" xr:uid="{98782192-FD01-4042-8E8E-FAB17259A8F3}"/>
    <cellStyle name="20% - Accent4 4 4 3" xfId="2158" xr:uid="{807C7ACD-46C4-49D9-A563-D288DFA9CE8B}"/>
    <cellStyle name="20% - Accent4 4 4 3 2" xfId="6289" xr:uid="{040F9A94-42F1-46B6-9259-543FA2F9CE65}"/>
    <cellStyle name="20% - Accent4 4 4 4" xfId="2982" xr:uid="{92AFBB7C-222E-4598-B2BC-DD2F1EBA3B0C}"/>
    <cellStyle name="20% - Accent4 4 4 4 2" xfId="7113" xr:uid="{0D082859-0704-4C9B-842A-83AC7FC63263}"/>
    <cellStyle name="20% - Accent4 4 4 5" xfId="3806" xr:uid="{9BE5A65F-77AD-4E27-84B8-DE9EA57090A9}"/>
    <cellStyle name="20% - Accent4 4 4 5 2" xfId="7965" xr:uid="{7CEE4DAF-E687-4C77-9796-C5F4B940F2EF}"/>
    <cellStyle name="20% - Accent4 4 4 6" xfId="4636" xr:uid="{D1052B8C-B400-48A2-9715-9403F8068325}"/>
    <cellStyle name="20% - Accent4 4 4 7" xfId="8812" xr:uid="{D246AEF2-535E-4A7D-998C-F08C126348CB}"/>
    <cellStyle name="20% - Accent4 4 5" xfId="910" xr:uid="{E9EAA018-AC01-43B2-A62B-89D35B90C6F0}"/>
    <cellStyle name="20% - Accent4 4 5 2" xfId="5042" xr:uid="{F77E709E-3A6C-4CE4-809F-E5440DBB9BFD}"/>
    <cellStyle name="20% - Accent4 4 6" xfId="1738" xr:uid="{1623BA0A-7373-45C1-83A8-2113EF796254}"/>
    <cellStyle name="20% - Accent4 4 6 2" xfId="5869" xr:uid="{33CABD02-950D-4B9A-AA28-39080325B008}"/>
    <cellStyle name="20% - Accent4 4 7" xfId="2562" xr:uid="{E7D9EB3C-4D2A-4FB4-B6DC-3AB562123759}"/>
    <cellStyle name="20% - Accent4 4 7 2" xfId="6693" xr:uid="{196AC0EB-BF1E-461F-8158-956F69D03F84}"/>
    <cellStyle name="20% - Accent4 4 8" xfId="3386" xr:uid="{F13471B6-4AAD-4E77-B556-D84F4EA50642}"/>
    <cellStyle name="20% - Accent4 4 8 2" xfId="7545" xr:uid="{859C3CE6-05E1-4830-9815-2F156BE4A0B8}"/>
    <cellStyle name="20% - Accent4 4 9" xfId="4216" xr:uid="{177EAE3F-FD81-48ED-91D8-13F4426F71A9}"/>
    <cellStyle name="20% - Accent4 5" xfId="97" xr:uid="{00000000-0005-0000-0000-0000E8000000}"/>
    <cellStyle name="20% - Accent4 5 10" xfId="8405" xr:uid="{C97C2360-EEFE-41DE-AC2B-E9EEE4BD23F1}"/>
    <cellStyle name="20% - Accent4 5 2" xfId="202" xr:uid="{00000000-0005-0000-0000-0000E9000000}"/>
    <cellStyle name="20% - Accent4 5 2 2" xfId="411" xr:uid="{00000000-0005-0000-0000-0000EA000000}"/>
    <cellStyle name="20% - Accent4 5 2 2 2" xfId="828" xr:uid="{00000000-0005-0000-0000-0000EB000000}"/>
    <cellStyle name="20% - Accent4 5 2 2 2 2" xfId="1654" xr:uid="{C06EDB45-335A-4494-804A-BF48EAA9035F}"/>
    <cellStyle name="20% - Accent4 5 2 2 2 2 2" xfId="5786" xr:uid="{8B327A89-437C-478F-B438-0ACB2819D72D}"/>
    <cellStyle name="20% - Accent4 5 2 2 2 3" xfId="2482" xr:uid="{DFFE9690-010B-493F-BF8B-F9060A64B210}"/>
    <cellStyle name="20% - Accent4 5 2 2 2 3 2" xfId="6613" xr:uid="{5DEC1EFE-45C3-48EC-A953-4DAAB30C3098}"/>
    <cellStyle name="20% - Accent4 5 2 2 2 4" xfId="3306" xr:uid="{725461F3-62CF-4A30-821B-43E688F0FF7B}"/>
    <cellStyle name="20% - Accent4 5 2 2 2 4 2" xfId="7437" xr:uid="{A74FCF0E-98DB-4CD7-A384-61CFCAFE9059}"/>
    <cellStyle name="20% - Accent4 5 2 2 2 5" xfId="4130" xr:uid="{00E67207-929A-429D-88D4-2713673CE196}"/>
    <cellStyle name="20% - Accent4 5 2 2 2 5 2" xfId="8289" xr:uid="{5389B583-9A5C-4808-9711-9558701CAD4B}"/>
    <cellStyle name="20% - Accent4 5 2 2 2 6" xfId="4960" xr:uid="{CC926FE3-A602-4D11-9730-C22DEA9C4787}"/>
    <cellStyle name="20% - Accent4 5 2 2 2 7" xfId="9136" xr:uid="{376A1A50-CDCA-448D-895D-03592E6D07C2}"/>
    <cellStyle name="20% - Accent4 5 2 2 3" xfId="1237" xr:uid="{30AF6C2F-0FB8-4D9D-821B-A6DEAE7F2556}"/>
    <cellStyle name="20% - Accent4 5 2 2 3 2" xfId="5369" xr:uid="{101B885A-5FD4-47F8-A802-5E51ECB37BA8}"/>
    <cellStyle name="20% - Accent4 5 2 2 4" xfId="2065" xr:uid="{6A1DBE1A-E7E3-4879-8EED-F17D822E7435}"/>
    <cellStyle name="20% - Accent4 5 2 2 4 2" xfId="6196" xr:uid="{B2528866-DE33-43AF-BC95-F38B7434C4E6}"/>
    <cellStyle name="20% - Accent4 5 2 2 5" xfId="2889" xr:uid="{73ED3170-443B-4839-BC43-C8EB7E46089D}"/>
    <cellStyle name="20% - Accent4 5 2 2 5 2" xfId="7020" xr:uid="{846176BA-7904-48B2-A953-A901CF9ABA62}"/>
    <cellStyle name="20% - Accent4 5 2 2 6" xfId="3713" xr:uid="{05128CF5-A483-4951-8534-9551909507D9}"/>
    <cellStyle name="20% - Accent4 5 2 2 6 2" xfId="7872" xr:uid="{D604C7F4-5AEF-424E-9FA3-89195FD8B5B5}"/>
    <cellStyle name="20% - Accent4 5 2 2 7" xfId="4543" xr:uid="{6C3D5BAE-FB97-432B-956F-69FF889BE367}"/>
    <cellStyle name="20% - Accent4 5 2 2 8" xfId="8719" xr:uid="{B3098C74-1A08-4F4A-84CF-12858F11CCA4}"/>
    <cellStyle name="20% - Accent4 5 2 3" xfId="620" xr:uid="{00000000-0005-0000-0000-0000EC000000}"/>
    <cellStyle name="20% - Accent4 5 2 3 2" xfId="1446" xr:uid="{C265A927-C0D3-4204-ACC2-34289B406E9B}"/>
    <cellStyle name="20% - Accent4 5 2 3 2 2" xfId="5578" xr:uid="{D41454D7-7F4A-481E-953D-4C85CB2D5389}"/>
    <cellStyle name="20% - Accent4 5 2 3 3" xfId="2274" xr:uid="{450ED7C6-FF64-4677-9079-101BF5BC5815}"/>
    <cellStyle name="20% - Accent4 5 2 3 3 2" xfId="6405" xr:uid="{A8DDE773-51C9-4D69-B69E-D69222666A65}"/>
    <cellStyle name="20% - Accent4 5 2 3 4" xfId="3098" xr:uid="{48CCFDA0-4449-42FD-892E-0CD4D046C4CB}"/>
    <cellStyle name="20% - Accent4 5 2 3 4 2" xfId="7229" xr:uid="{52D31CFB-1089-4E52-8388-5AFCE0B40039}"/>
    <cellStyle name="20% - Accent4 5 2 3 5" xfId="3922" xr:uid="{9ABD393B-6095-4870-A5C5-A64B7C992B17}"/>
    <cellStyle name="20% - Accent4 5 2 3 5 2" xfId="8081" xr:uid="{45A6B9D2-20A1-4D6C-A5A7-5E516BA15F3F}"/>
    <cellStyle name="20% - Accent4 5 2 3 6" xfId="4752" xr:uid="{94A7915B-DEA3-434D-9763-607C3B7EB2CA}"/>
    <cellStyle name="20% - Accent4 5 2 3 7" xfId="8928" xr:uid="{9F2ABBFC-8596-445F-9580-D6F2A141CCB4}"/>
    <cellStyle name="20% - Accent4 5 2 4" xfId="1028" xr:uid="{8407FEE2-8931-4B25-BC0D-40533C477FF6}"/>
    <cellStyle name="20% - Accent4 5 2 4 2" xfId="5160" xr:uid="{1928C93D-563B-4724-A6B4-F95CC81FCD7F}"/>
    <cellStyle name="20% - Accent4 5 2 5" xfId="1856" xr:uid="{E071C903-AABD-4C8C-9C82-C27622A349A0}"/>
    <cellStyle name="20% - Accent4 5 2 5 2" xfId="5987" xr:uid="{A9D8202C-4A0F-4C4F-B47C-2ECEFEC6F2D7}"/>
    <cellStyle name="20% - Accent4 5 2 6" xfId="2680" xr:uid="{2DCAB3A4-7E69-4641-BA37-8C700C11EBC1}"/>
    <cellStyle name="20% - Accent4 5 2 6 2" xfId="6811" xr:uid="{C3436F16-FE36-4671-AABB-51344BFC96B4}"/>
    <cellStyle name="20% - Accent4 5 2 7" xfId="3504" xr:uid="{99CB6DC0-85A3-42D4-9EF6-AC1EB4E4EF21}"/>
    <cellStyle name="20% - Accent4 5 2 7 2" xfId="7663" xr:uid="{407E1056-81EB-432F-BC3D-36854067B491}"/>
    <cellStyle name="20% - Accent4 5 2 8" xfId="4334" xr:uid="{7DD5C91E-1034-4E78-A079-D8A88A070200}"/>
    <cellStyle name="20% - Accent4 5 2 9" xfId="8510" xr:uid="{96851467-F864-47AF-AFEA-CAAE5C6CDCCE}"/>
    <cellStyle name="20% - Accent4 5 3" xfId="307" xr:uid="{00000000-0005-0000-0000-0000ED000000}"/>
    <cellStyle name="20% - Accent4 5 3 2" xfId="724" xr:uid="{00000000-0005-0000-0000-0000EE000000}"/>
    <cellStyle name="20% - Accent4 5 3 2 2" xfId="1550" xr:uid="{A8183DB4-5082-48D0-BB80-179C615D2BD1}"/>
    <cellStyle name="20% - Accent4 5 3 2 2 2" xfId="5682" xr:uid="{9B861E07-E40C-4A90-B4F0-71531D60582C}"/>
    <cellStyle name="20% - Accent4 5 3 2 3" xfId="2378" xr:uid="{BD202D5F-1929-45EB-ADF8-0F8226CCF027}"/>
    <cellStyle name="20% - Accent4 5 3 2 3 2" xfId="6509" xr:uid="{AFEB8AD3-E8B9-49D9-BBA9-7DD1FE8EC535}"/>
    <cellStyle name="20% - Accent4 5 3 2 4" xfId="3202" xr:uid="{8BFE712D-D1CF-4410-81A3-C3BD24CF4FC3}"/>
    <cellStyle name="20% - Accent4 5 3 2 4 2" xfId="7333" xr:uid="{1AF36B8C-AD8E-48AC-AE2E-A551BC6A12BC}"/>
    <cellStyle name="20% - Accent4 5 3 2 5" xfId="4026" xr:uid="{2AEF5659-7288-4E34-B2BA-5F39847B74B3}"/>
    <cellStyle name="20% - Accent4 5 3 2 5 2" xfId="8185" xr:uid="{E76707B2-0C37-4C6C-8718-E8816A450400}"/>
    <cellStyle name="20% - Accent4 5 3 2 6" xfId="4856" xr:uid="{137DE355-C524-440F-BFA2-339A444A43B9}"/>
    <cellStyle name="20% - Accent4 5 3 2 7" xfId="9032" xr:uid="{735125D4-319C-4317-8163-8D7ED4DBE89F}"/>
    <cellStyle name="20% - Accent4 5 3 3" xfId="1133" xr:uid="{62C5432C-511F-4629-94A2-BBF7BF533C5F}"/>
    <cellStyle name="20% - Accent4 5 3 3 2" xfId="5265" xr:uid="{AC5C7A04-4A66-4B9B-B17F-0C4D5FB50763}"/>
    <cellStyle name="20% - Accent4 5 3 4" xfId="1961" xr:uid="{1648F453-A72E-4727-A8F0-1286C3973E27}"/>
    <cellStyle name="20% - Accent4 5 3 4 2" xfId="6092" xr:uid="{90DFA926-6D61-484F-8E77-BAD339A2BFDB}"/>
    <cellStyle name="20% - Accent4 5 3 5" xfId="2785" xr:uid="{0E5A55A5-DD1C-4FAD-8D46-34DEB57F5B2B}"/>
    <cellStyle name="20% - Accent4 5 3 5 2" xfId="6916" xr:uid="{2128CC1A-FB2E-4B9A-AA46-D976A191B171}"/>
    <cellStyle name="20% - Accent4 5 3 6" xfId="3609" xr:uid="{9891A51A-6D2C-4240-BB31-9A1884F0F4FA}"/>
    <cellStyle name="20% - Accent4 5 3 6 2" xfId="7768" xr:uid="{013886B4-6A8E-44D4-9FD9-CE203E81BEAF}"/>
    <cellStyle name="20% - Accent4 5 3 7" xfId="4439" xr:uid="{FFBF6D9E-CAD6-4AC5-AC90-A4E3851FD7FF}"/>
    <cellStyle name="20% - Accent4 5 3 8" xfId="8615" xr:uid="{30C1745F-E54C-4802-8905-DD0A55B7F222}"/>
    <cellStyle name="20% - Accent4 5 4" xfId="516" xr:uid="{00000000-0005-0000-0000-0000EF000000}"/>
    <cellStyle name="20% - Accent4 5 4 2" xfId="1342" xr:uid="{8F8D3ACA-3A92-4D70-8F59-35B927D00D53}"/>
    <cellStyle name="20% - Accent4 5 4 2 2" xfId="5474" xr:uid="{EAD10B7C-5FB4-4EF8-A1F2-2B86EE4C4AB2}"/>
    <cellStyle name="20% - Accent4 5 4 3" xfId="2170" xr:uid="{DB3AD24F-368A-4D16-B2E5-3DD2082E4F11}"/>
    <cellStyle name="20% - Accent4 5 4 3 2" xfId="6301" xr:uid="{8901D55B-7020-461C-ABE2-AC76F313DF84}"/>
    <cellStyle name="20% - Accent4 5 4 4" xfId="2994" xr:uid="{4E441900-574C-46CD-A954-85BC2F0DE104}"/>
    <cellStyle name="20% - Accent4 5 4 4 2" xfId="7125" xr:uid="{0634762C-BA04-4454-B375-C02CAECF26C0}"/>
    <cellStyle name="20% - Accent4 5 4 5" xfId="3818" xr:uid="{75F9D3BF-2458-4809-9CD8-1DB7CBC71E16}"/>
    <cellStyle name="20% - Accent4 5 4 5 2" xfId="7977" xr:uid="{5331DB45-7804-4BBB-845F-2F8083FA474F}"/>
    <cellStyle name="20% - Accent4 5 4 6" xfId="4648" xr:uid="{5F48E7C4-3C9D-4993-A1BB-89C0BEA1E681}"/>
    <cellStyle name="20% - Accent4 5 4 7" xfId="8824" xr:uid="{E961EE07-0B63-409F-BC3B-7D29117013A9}"/>
    <cellStyle name="20% - Accent4 5 5" xfId="923" xr:uid="{3A5BB6DE-2B64-4BA5-A540-F033DB2F7176}"/>
    <cellStyle name="20% - Accent4 5 5 2" xfId="5055" xr:uid="{93EAE2C4-C7AA-4BBC-8E05-E2031D59BDA1}"/>
    <cellStyle name="20% - Accent4 5 6" xfId="1751" xr:uid="{6F9E26C3-B72C-470F-A1BE-2F3E44EDF926}"/>
    <cellStyle name="20% - Accent4 5 6 2" xfId="5882" xr:uid="{24E288B2-5297-4B85-9C12-F60755EF50E4}"/>
    <cellStyle name="20% - Accent4 5 7" xfId="2575" xr:uid="{DC55A359-136E-4639-88CD-E660FF02551B}"/>
    <cellStyle name="20% - Accent4 5 7 2" xfId="6706" xr:uid="{69653854-A213-46F4-87CF-AB0D43F95681}"/>
    <cellStyle name="20% - Accent4 5 8" xfId="3399" xr:uid="{0D42646E-0510-468C-9B86-F65F9D2A6FEE}"/>
    <cellStyle name="20% - Accent4 5 8 2" xfId="7558" xr:uid="{E4DB65FB-F8A6-4559-9E2B-5908DFE35F6C}"/>
    <cellStyle name="20% - Accent4 5 9" xfId="4229" xr:uid="{EAF977FE-AB48-4875-845F-177C8701D611}"/>
    <cellStyle name="20% - Accent4 6" xfId="137" xr:uid="{00000000-0005-0000-0000-0000F0000000}"/>
    <cellStyle name="20% - Accent4 6 2" xfId="347" xr:uid="{00000000-0005-0000-0000-0000F1000000}"/>
    <cellStyle name="20% - Accent4 6 2 2" xfId="764" xr:uid="{00000000-0005-0000-0000-0000F2000000}"/>
    <cellStyle name="20% - Accent4 6 2 2 2" xfId="1590" xr:uid="{0526C2DD-9524-4BF8-A2BD-6EF5751A5486}"/>
    <cellStyle name="20% - Accent4 6 2 2 2 2" xfId="5722" xr:uid="{7CA2C859-52EB-4DC8-B1DB-20556E81007D}"/>
    <cellStyle name="20% - Accent4 6 2 2 3" xfId="2418" xr:uid="{66C4BB39-7FC6-4438-8E58-C9D090189876}"/>
    <cellStyle name="20% - Accent4 6 2 2 3 2" xfId="6549" xr:uid="{7B5DF319-B9E2-4822-94D7-F6C78B6CF4A6}"/>
    <cellStyle name="20% - Accent4 6 2 2 4" xfId="3242" xr:uid="{F121D516-287E-4AEF-9643-54ACB688B9DA}"/>
    <cellStyle name="20% - Accent4 6 2 2 4 2" xfId="7373" xr:uid="{BDD34B0D-0A80-49DF-98D2-CF0EE9DB0D51}"/>
    <cellStyle name="20% - Accent4 6 2 2 5" xfId="4066" xr:uid="{49B4631B-24F1-4C43-A72A-E42CB8B01F4D}"/>
    <cellStyle name="20% - Accent4 6 2 2 5 2" xfId="8225" xr:uid="{D57ADB3A-A379-4469-B300-92C6B8957316}"/>
    <cellStyle name="20% - Accent4 6 2 2 6" xfId="4896" xr:uid="{4DB0CF54-9D83-4552-8A54-41A748152114}"/>
    <cellStyle name="20% - Accent4 6 2 2 7" xfId="9072" xr:uid="{52E8D8A9-BF5E-4D87-A908-3811689C9F32}"/>
    <cellStyle name="20% - Accent4 6 2 3" xfId="1173" xr:uid="{957A3811-A8C2-4174-A96E-DE9C31C7AB9A}"/>
    <cellStyle name="20% - Accent4 6 2 3 2" xfId="5305" xr:uid="{247AFB54-2461-4751-8374-2C8284E88345}"/>
    <cellStyle name="20% - Accent4 6 2 4" xfId="2001" xr:uid="{31481862-DCD1-411F-A662-A9FA4BC7117A}"/>
    <cellStyle name="20% - Accent4 6 2 4 2" xfId="6132" xr:uid="{19004951-4140-4E6A-8F0F-F1F4355A1C42}"/>
    <cellStyle name="20% - Accent4 6 2 5" xfId="2825" xr:uid="{F24DB832-0B05-4F40-BAF9-6DE7F9FA6F32}"/>
    <cellStyle name="20% - Accent4 6 2 5 2" xfId="6956" xr:uid="{C77CB707-8D4A-4CF0-B812-4DFC4448CABA}"/>
    <cellStyle name="20% - Accent4 6 2 6" xfId="3649" xr:uid="{0F1D8346-51EB-4A15-A666-F6A2A9E11756}"/>
    <cellStyle name="20% - Accent4 6 2 6 2" xfId="7808" xr:uid="{38434AFB-55CB-4D66-B5E9-D9FBCCF5DCF6}"/>
    <cellStyle name="20% - Accent4 6 2 7" xfId="4479" xr:uid="{45436B29-3DA8-48E1-8046-613E22F0B7B9}"/>
    <cellStyle name="20% - Accent4 6 2 8" xfId="8655" xr:uid="{5BA64EB7-48D7-44A9-B72C-62BD0502502D}"/>
    <cellStyle name="20% - Accent4 6 3" xfId="556" xr:uid="{00000000-0005-0000-0000-0000F3000000}"/>
    <cellStyle name="20% - Accent4 6 3 2" xfId="1382" xr:uid="{447BD1C7-72CF-4501-A682-0C3BC1AEDF4C}"/>
    <cellStyle name="20% - Accent4 6 3 2 2" xfId="5514" xr:uid="{A244DCFB-1359-4EBD-9BB2-870A32D58725}"/>
    <cellStyle name="20% - Accent4 6 3 3" xfId="2210" xr:uid="{93A5E89D-530E-4B37-8A5B-7BC53BAFE2B3}"/>
    <cellStyle name="20% - Accent4 6 3 3 2" xfId="6341" xr:uid="{F4C81688-2DD6-4C98-BAFE-A45E6CE4F3D0}"/>
    <cellStyle name="20% - Accent4 6 3 4" xfId="3034" xr:uid="{EEB49665-7C66-4A30-8618-BB5CC8C16228}"/>
    <cellStyle name="20% - Accent4 6 3 4 2" xfId="7165" xr:uid="{FEB8B284-38C1-4187-88AB-C7F9CCA242AC}"/>
    <cellStyle name="20% - Accent4 6 3 5" xfId="3858" xr:uid="{3175FA1D-C6C8-462C-835B-A5DC9C8088E7}"/>
    <cellStyle name="20% - Accent4 6 3 5 2" xfId="8017" xr:uid="{05B3C793-5B05-46E6-8CA2-1E59F39D2E96}"/>
    <cellStyle name="20% - Accent4 6 3 6" xfId="4688" xr:uid="{63088D32-713F-4FFE-BACC-40DBC432714F}"/>
    <cellStyle name="20% - Accent4 6 3 7" xfId="8864" xr:uid="{7A454571-A0E0-4971-8FFF-C0749BC69A7B}"/>
    <cellStyle name="20% - Accent4 6 4" xfId="963" xr:uid="{183E8995-B776-44F2-81E4-1A2916FDFB87}"/>
    <cellStyle name="20% - Accent4 6 4 2" xfId="5095" xr:uid="{F50CB006-CB5A-4964-9505-6622FE3CC676}"/>
    <cellStyle name="20% - Accent4 6 5" xfId="1791" xr:uid="{5520509F-EDC1-4A40-B8F7-43DB72719CCD}"/>
    <cellStyle name="20% - Accent4 6 5 2" xfId="5922" xr:uid="{2FE29E65-B515-48B3-912C-DF9820467913}"/>
    <cellStyle name="20% - Accent4 6 6" xfId="2615" xr:uid="{303701FD-869A-4D00-9674-9DB87A5688C2}"/>
    <cellStyle name="20% - Accent4 6 6 2" xfId="6746" xr:uid="{2E0984B2-8895-4698-B721-E4B5A0A35C06}"/>
    <cellStyle name="20% - Accent4 6 7" xfId="3439" xr:uid="{D1ED2F04-4AE7-4EE2-9045-32D9049D9DBA}"/>
    <cellStyle name="20% - Accent4 6 7 2" xfId="7598" xr:uid="{2C9C0E21-717F-4B3A-9581-C8F2D2DB832B}"/>
    <cellStyle name="20% - Accent4 6 8" xfId="4269" xr:uid="{CF742B43-4CE7-4EFE-80A6-42B533E35A4D}"/>
    <cellStyle name="20% - Accent4 6 9" xfId="8445" xr:uid="{91459BBE-A555-4701-97E7-51DA335A6866}"/>
    <cellStyle name="20% - Accent4 7" xfId="150" xr:uid="{00000000-0005-0000-0000-0000F4000000}"/>
    <cellStyle name="20% - Accent4 7 2" xfId="359" xr:uid="{00000000-0005-0000-0000-0000F5000000}"/>
    <cellStyle name="20% - Accent4 7 2 2" xfId="776" xr:uid="{00000000-0005-0000-0000-0000F6000000}"/>
    <cellStyle name="20% - Accent4 7 2 2 2" xfId="1602" xr:uid="{724D4DE0-A2BC-4D26-BAD8-85870389E3C9}"/>
    <cellStyle name="20% - Accent4 7 2 2 2 2" xfId="5734" xr:uid="{CB7F323F-849A-451B-8D20-C39DA0DA5B25}"/>
    <cellStyle name="20% - Accent4 7 2 2 3" xfId="2430" xr:uid="{F8F18D85-6597-493C-ADEB-41655EC0683E}"/>
    <cellStyle name="20% - Accent4 7 2 2 3 2" xfId="6561" xr:uid="{F8414A9F-3182-4746-AB66-A9E36D290040}"/>
    <cellStyle name="20% - Accent4 7 2 2 4" xfId="3254" xr:uid="{7BF69983-FBF7-4AC7-9811-3EAB3D1F4484}"/>
    <cellStyle name="20% - Accent4 7 2 2 4 2" xfId="7385" xr:uid="{47B509C8-371F-41AC-B51D-2BE9275021F5}"/>
    <cellStyle name="20% - Accent4 7 2 2 5" xfId="4078" xr:uid="{308E3393-A823-40D3-AD9F-4E03A0200EB5}"/>
    <cellStyle name="20% - Accent4 7 2 2 5 2" xfId="8237" xr:uid="{46161AE4-7C51-4D23-BFDB-8ECE73854571}"/>
    <cellStyle name="20% - Accent4 7 2 2 6" xfId="4908" xr:uid="{E4A4541A-6F0A-4813-8466-5E877352FA91}"/>
    <cellStyle name="20% - Accent4 7 2 2 7" xfId="9084" xr:uid="{DE7C94BD-58DD-4892-83A1-38D3FAC4A4B5}"/>
    <cellStyle name="20% - Accent4 7 2 3" xfId="1185" xr:uid="{D0E236CC-07DF-4CBA-A6E9-D65881173CF8}"/>
    <cellStyle name="20% - Accent4 7 2 3 2" xfId="5317" xr:uid="{4E7C8418-2BB0-4220-94DA-15AC92DF25DB}"/>
    <cellStyle name="20% - Accent4 7 2 4" xfId="2013" xr:uid="{D936C91D-5878-4760-B8BA-7C75C59E81B5}"/>
    <cellStyle name="20% - Accent4 7 2 4 2" xfId="6144" xr:uid="{438B5265-CE61-4C8D-A97A-A8556E11443D}"/>
    <cellStyle name="20% - Accent4 7 2 5" xfId="2837" xr:uid="{1BD95604-9D02-4743-B7A5-4348B4A1E97F}"/>
    <cellStyle name="20% - Accent4 7 2 5 2" xfId="6968" xr:uid="{80D52E2C-C208-4D59-9889-ECF4105C3234}"/>
    <cellStyle name="20% - Accent4 7 2 6" xfId="3661" xr:uid="{003345A3-414C-46F8-9CA4-CAC946D0846E}"/>
    <cellStyle name="20% - Accent4 7 2 6 2" xfId="7820" xr:uid="{CAD86B9C-7D6B-4DFE-AABA-A93866128004}"/>
    <cellStyle name="20% - Accent4 7 2 7" xfId="4491" xr:uid="{5E58797C-FABF-4DF4-BE8D-4B941774955C}"/>
    <cellStyle name="20% - Accent4 7 2 8" xfId="8667" xr:uid="{3E196AAA-B586-41D3-B617-B35E4F5B07CD}"/>
    <cellStyle name="20% - Accent4 7 3" xfId="568" xr:uid="{00000000-0005-0000-0000-0000F7000000}"/>
    <cellStyle name="20% - Accent4 7 3 2" xfId="1394" xr:uid="{75FB4D87-B688-41EA-A2D0-BC84D6725364}"/>
    <cellStyle name="20% - Accent4 7 3 2 2" xfId="5526" xr:uid="{D7276A39-1E33-46E6-9C78-E5D1D338E8B4}"/>
    <cellStyle name="20% - Accent4 7 3 3" xfId="2222" xr:uid="{CC76BFE8-BBDE-4944-92FA-9A9DAD6F2F4B}"/>
    <cellStyle name="20% - Accent4 7 3 3 2" xfId="6353" xr:uid="{590309FF-769A-4333-B729-52D23EC6308D}"/>
    <cellStyle name="20% - Accent4 7 3 4" xfId="3046" xr:uid="{79F571FC-C57B-4CDC-84A6-4FA64F216B5C}"/>
    <cellStyle name="20% - Accent4 7 3 4 2" xfId="7177" xr:uid="{7B1585EA-5791-4D97-B289-E3EBBD16BA1E}"/>
    <cellStyle name="20% - Accent4 7 3 5" xfId="3870" xr:uid="{194CBF7B-1737-4088-A2AC-41BF19AADEF3}"/>
    <cellStyle name="20% - Accent4 7 3 5 2" xfId="8029" xr:uid="{3F9D058D-0B35-4E78-AF29-104551EC9A85}"/>
    <cellStyle name="20% - Accent4 7 3 6" xfId="4700" xr:uid="{00DC451B-498A-4EFF-B886-C2CB1552E748}"/>
    <cellStyle name="20% - Accent4 7 3 7" xfId="8876" xr:uid="{292B8026-96FD-46CB-BAA2-092CF43BB059}"/>
    <cellStyle name="20% - Accent4 7 4" xfId="976" xr:uid="{B093CE93-8818-49EE-937E-4F42271FDEEE}"/>
    <cellStyle name="20% - Accent4 7 4 2" xfId="5108" xr:uid="{67CBFADC-1C96-408F-9A7D-F3B5A47A2EB3}"/>
    <cellStyle name="20% - Accent4 7 5" xfId="1804" xr:uid="{40ADD7AA-228E-4D49-9FC3-173DC8CC2D5F}"/>
    <cellStyle name="20% - Accent4 7 5 2" xfId="5935" xr:uid="{B2D34B45-E424-479F-B40F-6732532DA585}"/>
    <cellStyle name="20% - Accent4 7 6" xfId="2628" xr:uid="{BEF59E7E-D186-45B9-8A92-9EB6C1DEBA1D}"/>
    <cellStyle name="20% - Accent4 7 6 2" xfId="6759" xr:uid="{CC7AE84E-0850-43DE-AE98-10DCBB0F848A}"/>
    <cellStyle name="20% - Accent4 7 7" xfId="3452" xr:uid="{8AB777F9-EA6D-43D6-A87C-D0E350F51777}"/>
    <cellStyle name="20% - Accent4 7 7 2" xfId="7611" xr:uid="{4A616F79-62DD-4ED2-86CC-5510BEB28D07}"/>
    <cellStyle name="20% - Accent4 7 8" xfId="4282" xr:uid="{8599479F-2FFF-48EC-B73A-1C8DEC7B4008}"/>
    <cellStyle name="20% - Accent4 7 9" xfId="8458" xr:uid="{C9F4A071-C2FC-4204-B4AB-101065732947}"/>
    <cellStyle name="20% - Accent4 8" xfId="242" xr:uid="{00000000-0005-0000-0000-0000F8000000}"/>
    <cellStyle name="20% - Accent4 8 2" xfId="660" xr:uid="{00000000-0005-0000-0000-0000F9000000}"/>
    <cellStyle name="20% - Accent4 8 2 2" xfId="1486" xr:uid="{CE493A83-8D82-40D4-B052-ECB36D06079C}"/>
    <cellStyle name="20% - Accent4 8 2 2 2" xfId="5618" xr:uid="{B390DF45-C553-456B-A85C-58D9D3A9BC58}"/>
    <cellStyle name="20% - Accent4 8 2 3" xfId="2314" xr:uid="{F5843085-2F23-48AF-A79E-0D73403C763C}"/>
    <cellStyle name="20% - Accent4 8 2 3 2" xfId="6445" xr:uid="{BAC0A4EA-0212-4434-B22F-C6F0F68DD3B8}"/>
    <cellStyle name="20% - Accent4 8 2 4" xfId="3138" xr:uid="{CF5F41C3-CCF3-40C6-A8C5-E646D576603F}"/>
    <cellStyle name="20% - Accent4 8 2 4 2" xfId="7269" xr:uid="{C51CBE98-786A-44F7-A362-6DBA4B664F38}"/>
    <cellStyle name="20% - Accent4 8 2 5" xfId="3962" xr:uid="{8C8327A8-9786-446D-B9F9-BF5DDE61A475}"/>
    <cellStyle name="20% - Accent4 8 2 5 2" xfId="8121" xr:uid="{7902D385-5885-480B-8C95-AB53F06C6267}"/>
    <cellStyle name="20% - Accent4 8 2 6" xfId="4792" xr:uid="{6B3E4B4D-9429-47ED-BCC7-C188D1197D2B}"/>
    <cellStyle name="20% - Accent4 8 2 7" xfId="8968" xr:uid="{AA1335AD-3DA6-4E34-B04D-F5E1139C6461}"/>
    <cellStyle name="20% - Accent4 8 3" xfId="1068" xr:uid="{4716ABA6-9F6B-4DC0-AD7F-8355531A50F6}"/>
    <cellStyle name="20% - Accent4 8 3 2" xfId="5200" xr:uid="{FDBB7624-08F1-46DD-AE13-BD888F6277FD}"/>
    <cellStyle name="20% - Accent4 8 4" xfId="1896" xr:uid="{EF5FB7D7-B242-4AA7-82BE-3FE57E50ACAF}"/>
    <cellStyle name="20% - Accent4 8 4 2" xfId="6027" xr:uid="{6C212559-2B78-4640-AC88-26FBCB227085}"/>
    <cellStyle name="20% - Accent4 8 5" xfId="2720" xr:uid="{A0CDC82B-52BF-4B81-83F4-0BD68253B84A}"/>
    <cellStyle name="20% - Accent4 8 5 2" xfId="6851" xr:uid="{35DC4850-EE04-4CB4-86C3-20D4200DD987}"/>
    <cellStyle name="20% - Accent4 8 6" xfId="3544" xr:uid="{3C29F5A6-6835-45AC-8687-87AA424C6528}"/>
    <cellStyle name="20% - Accent4 8 6 2" xfId="7703" xr:uid="{B943B55E-CDEC-4A78-9775-33A856722862}"/>
    <cellStyle name="20% - Accent4 8 7" xfId="4374" xr:uid="{C9E3E2B8-BFE1-4DF9-8B24-644873AC1005}"/>
    <cellStyle name="20% - Accent4 8 8" xfId="8550" xr:uid="{7A4C6FAB-9D7D-40CB-86E1-701F9963FB8E}"/>
    <cellStyle name="20% - Accent4 9" xfId="255" xr:uid="{00000000-0005-0000-0000-0000FA000000}"/>
    <cellStyle name="20% - Accent4 9 2" xfId="672" xr:uid="{00000000-0005-0000-0000-0000FB000000}"/>
    <cellStyle name="20% - Accent4 9 2 2" xfId="1498" xr:uid="{B41DC258-40E5-43DF-9FA6-8217C31046E3}"/>
    <cellStyle name="20% - Accent4 9 2 2 2" xfId="5630" xr:uid="{F8D3E399-319E-482F-83F0-E4579526CB20}"/>
    <cellStyle name="20% - Accent4 9 2 3" xfId="2326" xr:uid="{70403AFE-DA98-452A-A583-9417631DA190}"/>
    <cellStyle name="20% - Accent4 9 2 3 2" xfId="6457" xr:uid="{95FD5C67-25FE-4D73-880D-09827F9F2F66}"/>
    <cellStyle name="20% - Accent4 9 2 4" xfId="3150" xr:uid="{D582429E-0AF6-4151-B5C8-28F40127B7A9}"/>
    <cellStyle name="20% - Accent4 9 2 4 2" xfId="7281" xr:uid="{4E2CC44A-7979-48A2-BAC3-FD2CBC63241A}"/>
    <cellStyle name="20% - Accent4 9 2 5" xfId="3974" xr:uid="{347DB08B-279F-48F0-B77D-971FAC28AC94}"/>
    <cellStyle name="20% - Accent4 9 2 5 2" xfId="8133" xr:uid="{0C335495-7AA3-4D66-9A69-1A1E55E739AE}"/>
    <cellStyle name="20% - Accent4 9 2 6" xfId="4804" xr:uid="{F3C55128-F7F4-4C30-8234-6DCF5F32A02E}"/>
    <cellStyle name="20% - Accent4 9 2 7" xfId="8980" xr:uid="{311B8536-6A19-472A-BDB6-1A44AF86DE13}"/>
    <cellStyle name="20% - Accent4 9 3" xfId="1081" xr:uid="{A5F26AE0-5D4A-44B0-AA8E-74242ACC4E10}"/>
    <cellStyle name="20% - Accent4 9 3 2" xfId="5213" xr:uid="{A675024B-915B-47D2-94E5-469171F9ED32}"/>
    <cellStyle name="20% - Accent4 9 4" xfId="1909" xr:uid="{8CF91A87-F791-49E7-8275-21C5898FB398}"/>
    <cellStyle name="20% - Accent4 9 4 2" xfId="6040" xr:uid="{73A442A2-2D98-4108-81F5-0DE896AAB26C}"/>
    <cellStyle name="20% - Accent4 9 5" xfId="2733" xr:uid="{6B7F2D26-284A-46CB-8ABD-3E09D221D8A8}"/>
    <cellStyle name="20% - Accent4 9 5 2" xfId="6864" xr:uid="{10D79DEA-BE6D-4841-9CFF-855D9BA0235C}"/>
    <cellStyle name="20% - Accent4 9 6" xfId="3557" xr:uid="{8AE91C24-9172-41BE-90D3-930BAA04F76D}"/>
    <cellStyle name="20% - Accent4 9 6 2" xfId="7716" xr:uid="{EE2DA54D-AF78-4CE1-81D8-C95C8A7A4932}"/>
    <cellStyle name="20% - Accent4 9 7" xfId="4387" xr:uid="{CD406393-D6A6-43B4-BF82-831BCDE7FE7A}"/>
    <cellStyle name="20% - Accent4 9 8" xfId="8563" xr:uid="{5F369511-8AB6-49AE-BDC1-E41BB0C9F076}"/>
    <cellStyle name="20% - Accent5" xfId="35" builtinId="46" customBuiltin="1"/>
    <cellStyle name="20% - Accent5 10" xfId="453" xr:uid="{00000000-0005-0000-0000-0000FD000000}"/>
    <cellStyle name="20% - Accent5 10 2" xfId="1279" xr:uid="{1B2C3F23-769B-44D9-AFC1-578D9F8F5669}"/>
    <cellStyle name="20% - Accent5 10 2 2" xfId="5411" xr:uid="{1C1EDB58-ACA6-44BB-A0D6-75F4A8C3B13E}"/>
    <cellStyle name="20% - Accent5 10 3" xfId="2107" xr:uid="{4525A58E-B37F-4E2F-BD22-9732946BDDB7}"/>
    <cellStyle name="20% - Accent5 10 3 2" xfId="6238" xr:uid="{17AB2447-A11E-4635-A016-F533C9A8BA81}"/>
    <cellStyle name="20% - Accent5 10 4" xfId="2931" xr:uid="{80C2BA08-4BA6-41D2-B53E-1BEC7DC9CEAB}"/>
    <cellStyle name="20% - Accent5 10 4 2" xfId="7062" xr:uid="{0E8DE8F3-2EAB-45A5-BD67-3781029BADD1}"/>
    <cellStyle name="20% - Accent5 10 5" xfId="3755" xr:uid="{00F8961D-5889-47E4-91F2-F36E21186A58}"/>
    <cellStyle name="20% - Accent5 10 5 2" xfId="7914" xr:uid="{08450223-41A2-4794-BAAC-7AE522F3FD9C}"/>
    <cellStyle name="20% - Accent5 10 6" xfId="4585" xr:uid="{B23076AB-84F1-47EB-9375-399B2AFE499A}"/>
    <cellStyle name="20% - Accent5 10 7" xfId="8761" xr:uid="{15FC3761-9A05-4C7F-A155-1D01FAF4B646}"/>
    <cellStyle name="20% - Accent5 11" xfId="466" xr:uid="{00000000-0005-0000-0000-0000FE000000}"/>
    <cellStyle name="20% - Accent5 11 2" xfId="1292" xr:uid="{9319FEB7-8515-4D63-AA51-3285DC452883}"/>
    <cellStyle name="20% - Accent5 11 2 2" xfId="5424" xr:uid="{E965B987-51E3-4FDB-8700-5B0A091A77EC}"/>
    <cellStyle name="20% - Accent5 11 3" xfId="2120" xr:uid="{4AC33737-88C4-41B2-A1A6-EBE4C8A442E8}"/>
    <cellStyle name="20% - Accent5 11 3 2" xfId="6251" xr:uid="{220CFAAC-E563-4D99-849B-1252705C9163}"/>
    <cellStyle name="20% - Accent5 11 4" xfId="2944" xr:uid="{E860A21E-497D-401F-86C5-74021EDD99CA}"/>
    <cellStyle name="20% - Accent5 11 4 2" xfId="7075" xr:uid="{16EE51E2-4303-4716-A335-6F740B6E4847}"/>
    <cellStyle name="20% - Accent5 11 5" xfId="3768" xr:uid="{650902DC-7A59-4707-B105-EA96548617BE}"/>
    <cellStyle name="20% - Accent5 11 5 2" xfId="7927" xr:uid="{16207971-53DB-4ABD-AD3D-2EE7E2D45B1A}"/>
    <cellStyle name="20% - Accent5 11 6" xfId="4598" xr:uid="{5CB0C3F3-8372-416F-947D-8D014DE1B19F}"/>
    <cellStyle name="20% - Accent5 11 7" xfId="8774" xr:uid="{3D769EB9-0F48-4DA0-B184-C8EAA36B0C19}"/>
    <cellStyle name="20% - Accent5 12" xfId="871" xr:uid="{4567DB8E-1EFE-4B6D-B9EC-F519659498BA}"/>
    <cellStyle name="20% - Accent5 12 2" xfId="5003" xr:uid="{99C21818-E25A-414C-8640-4B796D1FE204}"/>
    <cellStyle name="20% - Accent5 13" xfId="1700" xr:uid="{8D90B4E7-77E7-4755-AE13-FD0F063792DF}"/>
    <cellStyle name="20% - Accent5 13 2" xfId="5831" xr:uid="{732EB5CB-2292-478D-A075-5BA6CD659695}"/>
    <cellStyle name="20% - Accent5 14" xfId="2524" xr:uid="{A3DF2A0A-7A69-40D5-A1B5-A499D9496350}"/>
    <cellStyle name="20% - Accent5 14 2" xfId="6655" xr:uid="{A6A88CB6-43A7-41BA-B47C-E09F583B1C24}"/>
    <cellStyle name="20% - Accent5 15" xfId="3348" xr:uid="{9E25B1BD-CBD5-46AF-9EA2-947D7B6E29B1}"/>
    <cellStyle name="20% - Accent5 15 2" xfId="7507" xr:uid="{DBC68C75-4969-4E12-9D2D-07327F6C55CA}"/>
    <cellStyle name="20% - Accent5 16" xfId="4177" xr:uid="{8BF7AA09-3231-4B64-B4F9-68A39C74EC8B}"/>
    <cellStyle name="20% - Accent5 17" xfId="8354" xr:uid="{4CD12969-0D19-4462-A0B3-DC4F3A2FAE51}"/>
    <cellStyle name="20% - Accent5 2" xfId="60" xr:uid="{00000000-0005-0000-0000-0000FF000000}"/>
    <cellStyle name="20% - Accent5 2 10" xfId="4192" xr:uid="{C51E88E9-F10D-40B1-9A97-ABAE9AD4BBB5}"/>
    <cellStyle name="20% - Accent5 2 11" xfId="8368" xr:uid="{20715B15-443E-4CC2-9D49-AEDDC4782BA8}"/>
    <cellStyle name="20% - Accent5 2 2" xfId="113" xr:uid="{00000000-0005-0000-0000-000000010000}"/>
    <cellStyle name="20% - Accent5 2 2 10" xfId="8421" xr:uid="{6848B359-C556-40A3-9161-E80F3FDF08F7}"/>
    <cellStyle name="20% - Accent5 2 2 2" xfId="218" xr:uid="{00000000-0005-0000-0000-000001010000}"/>
    <cellStyle name="20% - Accent5 2 2 2 2" xfId="427" xr:uid="{00000000-0005-0000-0000-000002010000}"/>
    <cellStyle name="20% - Accent5 2 2 2 2 2" xfId="844" xr:uid="{00000000-0005-0000-0000-000003010000}"/>
    <cellStyle name="20% - Accent5 2 2 2 2 2 2" xfId="1670" xr:uid="{85E5523E-FAA0-454C-A86B-990B745951F1}"/>
    <cellStyle name="20% - Accent5 2 2 2 2 2 2 2" xfId="5802" xr:uid="{77CB1AF9-49DD-420B-B5AD-64DE407E9EDF}"/>
    <cellStyle name="20% - Accent5 2 2 2 2 2 3" xfId="2498" xr:uid="{BB2D8A42-C1E9-4236-A042-874E93B255CF}"/>
    <cellStyle name="20% - Accent5 2 2 2 2 2 3 2" xfId="6629" xr:uid="{9814B05A-03A5-4315-9868-BCD7F6E0DBA8}"/>
    <cellStyle name="20% - Accent5 2 2 2 2 2 4" xfId="3322" xr:uid="{4E83F06A-4B8E-4AEE-A20D-62FA58FD487B}"/>
    <cellStyle name="20% - Accent5 2 2 2 2 2 4 2" xfId="7453" xr:uid="{EFF42DF5-4522-4653-81B9-8A6D15D2139D}"/>
    <cellStyle name="20% - Accent5 2 2 2 2 2 5" xfId="4146" xr:uid="{58589643-0C6D-4053-B1D9-4FC4BDFA7D37}"/>
    <cellStyle name="20% - Accent5 2 2 2 2 2 5 2" xfId="8305" xr:uid="{819A82D2-CEF8-48A4-8A33-AEBFDFEC693A}"/>
    <cellStyle name="20% - Accent5 2 2 2 2 2 6" xfId="4976" xr:uid="{43F1F644-DE23-406D-BBE2-BC652256D8FF}"/>
    <cellStyle name="20% - Accent5 2 2 2 2 2 7" xfId="9152" xr:uid="{7ACA271A-8C4D-41F3-AC6E-F1173435709F}"/>
    <cellStyle name="20% - Accent5 2 2 2 2 3" xfId="1253" xr:uid="{79561243-0EB1-4C58-82CE-227F2384E18A}"/>
    <cellStyle name="20% - Accent5 2 2 2 2 3 2" xfId="5385" xr:uid="{F6099EBA-A854-409F-905C-D64EF301BC2B}"/>
    <cellStyle name="20% - Accent5 2 2 2 2 4" xfId="2081" xr:uid="{33845D5F-EEBF-441B-BA8E-68EE40D25E82}"/>
    <cellStyle name="20% - Accent5 2 2 2 2 4 2" xfId="6212" xr:uid="{9A446406-F025-44EE-B2C9-F7F586047074}"/>
    <cellStyle name="20% - Accent5 2 2 2 2 5" xfId="2905" xr:uid="{1FF834CC-1867-4FAE-89E6-FE27FB242F3D}"/>
    <cellStyle name="20% - Accent5 2 2 2 2 5 2" xfId="7036" xr:uid="{18C28D33-79BB-4A2E-B97D-44EB012F6AB3}"/>
    <cellStyle name="20% - Accent5 2 2 2 2 6" xfId="3729" xr:uid="{D49B51FB-E4B6-483D-849B-57E25CE93817}"/>
    <cellStyle name="20% - Accent5 2 2 2 2 6 2" xfId="7888" xr:uid="{FF451F27-A775-4AEC-880D-69B9E6EB266B}"/>
    <cellStyle name="20% - Accent5 2 2 2 2 7" xfId="4559" xr:uid="{709939FA-292F-4C99-93BA-64C85F89F863}"/>
    <cellStyle name="20% - Accent5 2 2 2 2 8" xfId="8735" xr:uid="{20B59991-211A-4867-A6A4-2BF6329F4CDF}"/>
    <cellStyle name="20% - Accent5 2 2 2 3" xfId="636" xr:uid="{00000000-0005-0000-0000-000004010000}"/>
    <cellStyle name="20% - Accent5 2 2 2 3 2" xfId="1462" xr:uid="{BFDEAE9B-D5D9-453F-9EEA-4DDBB9C001BE}"/>
    <cellStyle name="20% - Accent5 2 2 2 3 2 2" xfId="5594" xr:uid="{F70E268E-C07D-4558-B58A-541154C8796E}"/>
    <cellStyle name="20% - Accent5 2 2 2 3 3" xfId="2290" xr:uid="{4F59ADD5-1E5E-4E97-A0F5-909678099F2A}"/>
    <cellStyle name="20% - Accent5 2 2 2 3 3 2" xfId="6421" xr:uid="{EB99C0D7-A2E8-4CA0-A16A-BFB5C0459EA4}"/>
    <cellStyle name="20% - Accent5 2 2 2 3 4" xfId="3114" xr:uid="{EE87E85A-8861-430B-8AAD-2C25B9E864FF}"/>
    <cellStyle name="20% - Accent5 2 2 2 3 4 2" xfId="7245" xr:uid="{9ABC7A15-E2C1-4A58-A65F-453DB1F29BF9}"/>
    <cellStyle name="20% - Accent5 2 2 2 3 5" xfId="3938" xr:uid="{6B549771-A24F-4F1C-8318-D6FF8330C3DC}"/>
    <cellStyle name="20% - Accent5 2 2 2 3 5 2" xfId="8097" xr:uid="{C4FC2D64-1550-449A-89AA-07F910DEF6DE}"/>
    <cellStyle name="20% - Accent5 2 2 2 3 6" xfId="4768" xr:uid="{8B24BF10-FEFB-42D2-AAB0-21B3CBB9A31E}"/>
    <cellStyle name="20% - Accent5 2 2 2 3 7" xfId="8944" xr:uid="{CE36D050-39FD-4B90-9AF9-0E4AE48CF4B6}"/>
    <cellStyle name="20% - Accent5 2 2 2 4" xfId="1044" xr:uid="{826D91C7-7918-4EA0-849E-BE7081F64A1F}"/>
    <cellStyle name="20% - Accent5 2 2 2 4 2" xfId="5176" xr:uid="{042C369B-E9DF-4E3D-BBC6-E47942605D52}"/>
    <cellStyle name="20% - Accent5 2 2 2 5" xfId="1872" xr:uid="{A6D5BA1C-BE30-4DC8-B763-BD49491FAACF}"/>
    <cellStyle name="20% - Accent5 2 2 2 5 2" xfId="6003" xr:uid="{2DE893EC-F3E5-4D2B-81AC-F451775C1244}"/>
    <cellStyle name="20% - Accent5 2 2 2 6" xfId="2696" xr:uid="{63B9B0B2-2399-4580-8BDE-55ABAD752FD6}"/>
    <cellStyle name="20% - Accent5 2 2 2 6 2" xfId="6827" xr:uid="{060F1F17-D6E1-4394-9844-F7AE8B1D7C45}"/>
    <cellStyle name="20% - Accent5 2 2 2 7" xfId="3520" xr:uid="{A1D1A449-552C-4B85-95D3-778BC25CF547}"/>
    <cellStyle name="20% - Accent5 2 2 2 7 2" xfId="7679" xr:uid="{59424DFD-D4CF-4A39-9921-23AEBAAC2E09}"/>
    <cellStyle name="20% - Accent5 2 2 2 8" xfId="4350" xr:uid="{2A61DE74-5709-4A8E-ACE8-B43F39E9ECBE}"/>
    <cellStyle name="20% - Accent5 2 2 2 9" xfId="8526" xr:uid="{2545B662-1CD5-46FB-AF3D-6B12B3E56B0B}"/>
    <cellStyle name="20% - Accent5 2 2 3" xfId="323" xr:uid="{00000000-0005-0000-0000-000005010000}"/>
    <cellStyle name="20% - Accent5 2 2 3 2" xfId="740" xr:uid="{00000000-0005-0000-0000-000006010000}"/>
    <cellStyle name="20% - Accent5 2 2 3 2 2" xfId="1566" xr:uid="{AC072FB2-9B1F-4CC8-A86E-0EDAE6F54331}"/>
    <cellStyle name="20% - Accent5 2 2 3 2 2 2" xfId="5698" xr:uid="{5C8604DE-7971-4E5C-B556-6DA423DE1615}"/>
    <cellStyle name="20% - Accent5 2 2 3 2 3" xfId="2394" xr:uid="{1F8B793D-7C4E-4E5E-910A-E377E2B47E0E}"/>
    <cellStyle name="20% - Accent5 2 2 3 2 3 2" xfId="6525" xr:uid="{40112E34-0CE3-46BA-A4C0-B9A3CEB62EA1}"/>
    <cellStyle name="20% - Accent5 2 2 3 2 4" xfId="3218" xr:uid="{C1AF7D02-890F-43E2-BA3F-50BF658D46E4}"/>
    <cellStyle name="20% - Accent5 2 2 3 2 4 2" xfId="7349" xr:uid="{F00753B0-5D33-4C2F-9FB3-42E7DEA8AA07}"/>
    <cellStyle name="20% - Accent5 2 2 3 2 5" xfId="4042" xr:uid="{468120EE-EE96-4046-8B9F-B78366EB9AEC}"/>
    <cellStyle name="20% - Accent5 2 2 3 2 5 2" xfId="8201" xr:uid="{C1A2D30D-D407-4970-8F4A-E83AED3093A3}"/>
    <cellStyle name="20% - Accent5 2 2 3 2 6" xfId="4872" xr:uid="{0E9B0E04-C7F9-41EC-8D69-4D9BF7BC6772}"/>
    <cellStyle name="20% - Accent5 2 2 3 2 7" xfId="9048" xr:uid="{D443B4E0-C0CA-4D7D-9A6F-F62913A049BE}"/>
    <cellStyle name="20% - Accent5 2 2 3 3" xfId="1149" xr:uid="{20DDA6D2-CEA1-4C15-93F5-6687023CE4FB}"/>
    <cellStyle name="20% - Accent5 2 2 3 3 2" xfId="5281" xr:uid="{5DDAADAB-B343-4505-BFA8-903C48120DBE}"/>
    <cellStyle name="20% - Accent5 2 2 3 4" xfId="1977" xr:uid="{24000631-4487-4FBB-A0B0-24F5469C335F}"/>
    <cellStyle name="20% - Accent5 2 2 3 4 2" xfId="6108" xr:uid="{0AFD3193-12CD-4D3C-8177-BFFE5D56048E}"/>
    <cellStyle name="20% - Accent5 2 2 3 5" xfId="2801" xr:uid="{34D727BE-88BF-4FDD-8A60-4D78EDB0DED2}"/>
    <cellStyle name="20% - Accent5 2 2 3 5 2" xfId="6932" xr:uid="{CFECAACC-6A0F-4506-8271-F9BBEFA79070}"/>
    <cellStyle name="20% - Accent5 2 2 3 6" xfId="3625" xr:uid="{EA501919-761C-4320-B7C2-0D9B855BE39A}"/>
    <cellStyle name="20% - Accent5 2 2 3 6 2" xfId="7784" xr:uid="{E888D30F-3B96-4164-97C6-8FF482A5E699}"/>
    <cellStyle name="20% - Accent5 2 2 3 7" xfId="4455" xr:uid="{3FC029FC-D9A9-4BC1-ADC4-B0D1DB07E236}"/>
    <cellStyle name="20% - Accent5 2 2 3 8" xfId="8631" xr:uid="{D042E7F0-9317-4723-A6B9-A875D8CF9CEA}"/>
    <cellStyle name="20% - Accent5 2 2 4" xfId="532" xr:uid="{00000000-0005-0000-0000-000007010000}"/>
    <cellStyle name="20% - Accent5 2 2 4 2" xfId="1358" xr:uid="{12FB79DB-5B09-467C-84C1-0C398B58D2F8}"/>
    <cellStyle name="20% - Accent5 2 2 4 2 2" xfId="5490" xr:uid="{3355603B-7E03-4535-BA02-DDE13676EC29}"/>
    <cellStyle name="20% - Accent5 2 2 4 3" xfId="2186" xr:uid="{66F604F1-4C9D-4070-B455-ACFD4ABD079E}"/>
    <cellStyle name="20% - Accent5 2 2 4 3 2" xfId="6317" xr:uid="{3A7EB135-C720-4D05-9D63-9A5FA10F0420}"/>
    <cellStyle name="20% - Accent5 2 2 4 4" xfId="3010" xr:uid="{DDDDA079-2CF5-4FB9-A86E-502D10F879F9}"/>
    <cellStyle name="20% - Accent5 2 2 4 4 2" xfId="7141" xr:uid="{9A7F2C16-2CFF-4867-8EF0-8F7456D22E50}"/>
    <cellStyle name="20% - Accent5 2 2 4 5" xfId="3834" xr:uid="{DF8DAB8A-5921-4320-8B6C-65CA99D319EB}"/>
    <cellStyle name="20% - Accent5 2 2 4 5 2" xfId="7993" xr:uid="{9D44BA9C-7A86-48BF-AD2B-4BCED2A4882D}"/>
    <cellStyle name="20% - Accent5 2 2 4 6" xfId="4664" xr:uid="{9593D372-C32B-465F-8584-90F8AF2BCD81}"/>
    <cellStyle name="20% - Accent5 2 2 4 7" xfId="8840" xr:uid="{1C97BDAE-F3C4-4E00-B8A8-F185A1105B2B}"/>
    <cellStyle name="20% - Accent5 2 2 5" xfId="939" xr:uid="{A454D4BC-D0A3-4A65-944D-D31506E4080F}"/>
    <cellStyle name="20% - Accent5 2 2 5 2" xfId="5071" xr:uid="{A78EF26D-7CFB-460E-9ACA-C06F149EF228}"/>
    <cellStyle name="20% - Accent5 2 2 6" xfId="1767" xr:uid="{07FFE3F5-9AF4-4E74-AA7E-EC63DD7282C1}"/>
    <cellStyle name="20% - Accent5 2 2 6 2" xfId="5898" xr:uid="{634C47B9-07CE-4808-A63F-F9ED7202B192}"/>
    <cellStyle name="20% - Accent5 2 2 7" xfId="2591" xr:uid="{E79297DD-84E7-43FA-B304-EFF39B1028DF}"/>
    <cellStyle name="20% - Accent5 2 2 7 2" xfId="6722" xr:uid="{183D675D-0D09-4D05-8F0E-BBCFD63D1523}"/>
    <cellStyle name="20% - Accent5 2 2 8" xfId="3415" xr:uid="{CF911E83-B463-4CA0-B9C7-8E735C69D48B}"/>
    <cellStyle name="20% - Accent5 2 2 8 2" xfId="7574" xr:uid="{363F4CCC-8CF4-413F-ADB1-B2FDB0834C28}"/>
    <cellStyle name="20% - Accent5 2 2 9" xfId="4245" xr:uid="{EA33B672-288E-442F-97E9-4B9EE9DA0CFF}"/>
    <cellStyle name="20% - Accent5 2 3" xfId="166" xr:uid="{00000000-0005-0000-0000-000008010000}"/>
    <cellStyle name="20% - Accent5 2 3 2" xfId="375" xr:uid="{00000000-0005-0000-0000-000009010000}"/>
    <cellStyle name="20% - Accent5 2 3 2 2" xfId="792" xr:uid="{00000000-0005-0000-0000-00000A010000}"/>
    <cellStyle name="20% - Accent5 2 3 2 2 2" xfId="1618" xr:uid="{DACCBC82-372F-4B50-B2EE-00D95CF6B224}"/>
    <cellStyle name="20% - Accent5 2 3 2 2 2 2" xfId="5750" xr:uid="{198B5693-0840-43A1-AD4F-D8F5F6C6D916}"/>
    <cellStyle name="20% - Accent5 2 3 2 2 3" xfId="2446" xr:uid="{EC3216E8-59D8-4B1F-B959-006351D42CC1}"/>
    <cellStyle name="20% - Accent5 2 3 2 2 3 2" xfId="6577" xr:uid="{D04FC59E-44E4-47EF-A2E7-19E7883CC027}"/>
    <cellStyle name="20% - Accent5 2 3 2 2 4" xfId="3270" xr:uid="{475C67D2-3D5B-4753-A334-C73BF09B8FFB}"/>
    <cellStyle name="20% - Accent5 2 3 2 2 4 2" xfId="7401" xr:uid="{4FE1FF25-5A0E-4C7D-852E-B6ED715808DA}"/>
    <cellStyle name="20% - Accent5 2 3 2 2 5" xfId="4094" xr:uid="{E5A93505-90D3-4059-8497-A70A631735E3}"/>
    <cellStyle name="20% - Accent5 2 3 2 2 5 2" xfId="8253" xr:uid="{079DCC9B-F484-4C36-9E27-513BA6582C7D}"/>
    <cellStyle name="20% - Accent5 2 3 2 2 6" xfId="4924" xr:uid="{35431B63-58F6-470C-93AA-8906A844355F}"/>
    <cellStyle name="20% - Accent5 2 3 2 2 7" xfId="9100" xr:uid="{8832D019-25DD-463C-A09B-8C7BB2307C72}"/>
    <cellStyle name="20% - Accent5 2 3 2 3" xfId="1201" xr:uid="{3455BAFC-F7E3-46B5-B616-46BC87460B32}"/>
    <cellStyle name="20% - Accent5 2 3 2 3 2" xfId="5333" xr:uid="{A04CAC0A-DDF3-4976-9ADF-5DCE2606858F}"/>
    <cellStyle name="20% - Accent5 2 3 2 4" xfId="2029" xr:uid="{8762B243-7244-4D85-8556-9078175DC331}"/>
    <cellStyle name="20% - Accent5 2 3 2 4 2" xfId="6160" xr:uid="{3AB7A6ED-695A-453D-8FF7-271A65C5685E}"/>
    <cellStyle name="20% - Accent5 2 3 2 5" xfId="2853" xr:uid="{0110D19C-E960-4CFA-8DE6-AEEE23287244}"/>
    <cellStyle name="20% - Accent5 2 3 2 5 2" xfId="6984" xr:uid="{AC330709-5052-4F4E-BBB3-32A838C67EC6}"/>
    <cellStyle name="20% - Accent5 2 3 2 6" xfId="3677" xr:uid="{FE5C7D20-364E-4429-957A-F160F231BA9D}"/>
    <cellStyle name="20% - Accent5 2 3 2 6 2" xfId="7836" xr:uid="{F7163DBD-7AEA-4207-9E61-9ACB7FE6A966}"/>
    <cellStyle name="20% - Accent5 2 3 2 7" xfId="4507" xr:uid="{C92997D0-DF82-49B3-B219-0F347F22FDA4}"/>
    <cellStyle name="20% - Accent5 2 3 2 8" xfId="8683" xr:uid="{C59CB55B-D6F5-4E24-86AA-4DB6F0EC612F}"/>
    <cellStyle name="20% - Accent5 2 3 3" xfId="584" xr:uid="{00000000-0005-0000-0000-00000B010000}"/>
    <cellStyle name="20% - Accent5 2 3 3 2" xfId="1410" xr:uid="{2CFF0A23-F79E-4E83-BCF9-6EA70C9A30F2}"/>
    <cellStyle name="20% - Accent5 2 3 3 2 2" xfId="5542" xr:uid="{766A2DC5-1DA4-4947-A086-3F2AF0BB8B2A}"/>
    <cellStyle name="20% - Accent5 2 3 3 3" xfId="2238" xr:uid="{EFF28419-52DF-4761-B6B7-82DCF08A83E1}"/>
    <cellStyle name="20% - Accent5 2 3 3 3 2" xfId="6369" xr:uid="{9CBC848B-C317-4528-BDC1-2D7C41B09521}"/>
    <cellStyle name="20% - Accent5 2 3 3 4" xfId="3062" xr:uid="{584579D3-B533-4799-A743-A0689D9CFA91}"/>
    <cellStyle name="20% - Accent5 2 3 3 4 2" xfId="7193" xr:uid="{79C2BC24-13D0-4514-AC01-F4F6A581E982}"/>
    <cellStyle name="20% - Accent5 2 3 3 5" xfId="3886" xr:uid="{8B815F19-AD85-4466-917E-17F7542D0FA5}"/>
    <cellStyle name="20% - Accent5 2 3 3 5 2" xfId="8045" xr:uid="{ED3902BA-2039-4645-864D-74C5349AE753}"/>
    <cellStyle name="20% - Accent5 2 3 3 6" xfId="4716" xr:uid="{02B7AD86-6747-45BD-903B-0F6AE4FA2EBD}"/>
    <cellStyle name="20% - Accent5 2 3 3 7" xfId="8892" xr:uid="{8D872488-C3E7-4BEB-8A56-D08F912F4BBA}"/>
    <cellStyle name="20% - Accent5 2 3 4" xfId="992" xr:uid="{169D12D1-F612-4044-B252-A7F624D11040}"/>
    <cellStyle name="20% - Accent5 2 3 4 2" xfId="5124" xr:uid="{15B03D60-5BD3-44D9-9139-771845BE940E}"/>
    <cellStyle name="20% - Accent5 2 3 5" xfId="1820" xr:uid="{D07BBF85-12DE-4610-8383-5E605E469E85}"/>
    <cellStyle name="20% - Accent5 2 3 5 2" xfId="5951" xr:uid="{3944B3EA-0F42-42A3-B039-2C9E2838FC22}"/>
    <cellStyle name="20% - Accent5 2 3 6" xfId="2644" xr:uid="{486EFA8F-449A-4C15-8003-12B4AA0F522B}"/>
    <cellStyle name="20% - Accent5 2 3 6 2" xfId="6775" xr:uid="{D7EAF080-EF1F-48F6-82DE-887ECB091E16}"/>
    <cellStyle name="20% - Accent5 2 3 7" xfId="3468" xr:uid="{44FC201F-0B78-4DCA-BA02-6573D130E649}"/>
    <cellStyle name="20% - Accent5 2 3 7 2" xfId="7627" xr:uid="{31BCF3D9-E80A-4CEE-AFE0-461F3BF00F13}"/>
    <cellStyle name="20% - Accent5 2 3 8" xfId="4298" xr:uid="{B3ECB7A3-5091-471C-A2D1-118C67242523}"/>
    <cellStyle name="20% - Accent5 2 3 9" xfId="8474" xr:uid="{1E7F56D3-7371-48AE-A7CD-BFB866DB6216}"/>
    <cellStyle name="20% - Accent5 2 4" xfId="271" xr:uid="{00000000-0005-0000-0000-00000C010000}"/>
    <cellStyle name="20% - Accent5 2 4 2" xfId="688" xr:uid="{00000000-0005-0000-0000-00000D010000}"/>
    <cellStyle name="20% - Accent5 2 4 2 2" xfId="1514" xr:uid="{959D58E4-1786-4472-ABE0-348D366626CC}"/>
    <cellStyle name="20% - Accent5 2 4 2 2 2" xfId="5646" xr:uid="{8A95A3FA-1487-4902-A932-B9949363B0A7}"/>
    <cellStyle name="20% - Accent5 2 4 2 3" xfId="2342" xr:uid="{7557F4B9-B89A-4E3C-987F-B5DB99488945}"/>
    <cellStyle name="20% - Accent5 2 4 2 3 2" xfId="6473" xr:uid="{A0F2AD6E-399F-4C0C-841E-7638F314E872}"/>
    <cellStyle name="20% - Accent5 2 4 2 4" xfId="3166" xr:uid="{2A3520C4-3898-4695-96DF-165A2B040025}"/>
    <cellStyle name="20% - Accent5 2 4 2 4 2" xfId="7297" xr:uid="{E0AA92E4-5273-43C4-98EC-78CFBDE98D3A}"/>
    <cellStyle name="20% - Accent5 2 4 2 5" xfId="3990" xr:uid="{89861215-BA80-4E12-B2A1-3EFF2E1548CF}"/>
    <cellStyle name="20% - Accent5 2 4 2 5 2" xfId="8149" xr:uid="{C308A1E3-677E-41F0-8467-4BD4C413D3CD}"/>
    <cellStyle name="20% - Accent5 2 4 2 6" xfId="4820" xr:uid="{5B12EA4A-745A-4FFE-8505-04D4A0DE89A9}"/>
    <cellStyle name="20% - Accent5 2 4 2 7" xfId="8996" xr:uid="{E689E1D3-9745-44C2-AE44-53B0BE01D877}"/>
    <cellStyle name="20% - Accent5 2 4 3" xfId="1097" xr:uid="{D03CA80A-75FC-4948-AE64-D063DC370CE9}"/>
    <cellStyle name="20% - Accent5 2 4 3 2" xfId="5229" xr:uid="{0B5A5326-B0B6-472A-AFE0-12FDAA53FBD0}"/>
    <cellStyle name="20% - Accent5 2 4 4" xfId="1925" xr:uid="{03D1AC35-57E5-44DA-BC92-D638C60B854A}"/>
    <cellStyle name="20% - Accent5 2 4 4 2" xfId="6056" xr:uid="{EFB6AC28-E440-4E5E-BFED-5E622B181B56}"/>
    <cellStyle name="20% - Accent5 2 4 5" xfId="2749" xr:uid="{E151ABEB-9272-4563-A859-CE64CE9143AF}"/>
    <cellStyle name="20% - Accent5 2 4 5 2" xfId="6880" xr:uid="{B290DC4C-DF47-4295-9E15-3D5774D5248B}"/>
    <cellStyle name="20% - Accent5 2 4 6" xfId="3573" xr:uid="{C637591B-BEB3-4498-A7B6-BFD1BD40E937}"/>
    <cellStyle name="20% - Accent5 2 4 6 2" xfId="7732" xr:uid="{D15C1E4D-B52F-44A9-A1CF-56711F856C40}"/>
    <cellStyle name="20% - Accent5 2 4 7" xfId="4403" xr:uid="{88AD0F4F-99DA-4DE6-AB26-09FEC17F8F38}"/>
    <cellStyle name="20% - Accent5 2 4 8" xfId="8579" xr:uid="{C3952536-25B5-4731-9691-32022001AF06}"/>
    <cellStyle name="20% - Accent5 2 5" xfId="480" xr:uid="{00000000-0005-0000-0000-00000E010000}"/>
    <cellStyle name="20% - Accent5 2 5 2" xfId="1306" xr:uid="{EAE88185-3764-4B87-8F1C-B366CC641FCF}"/>
    <cellStyle name="20% - Accent5 2 5 2 2" xfId="5438" xr:uid="{D8752A14-112E-46AA-8E9F-96BF5AA36367}"/>
    <cellStyle name="20% - Accent5 2 5 3" xfId="2134" xr:uid="{53845E7D-748C-4F02-88E9-1EEC8AB7746B}"/>
    <cellStyle name="20% - Accent5 2 5 3 2" xfId="6265" xr:uid="{8D725C0C-DE9D-4256-9D19-0DEDF6BE5028}"/>
    <cellStyle name="20% - Accent5 2 5 4" xfId="2958" xr:uid="{20A8DB17-7D3C-4EBE-8DC5-C3B9CE4EA32E}"/>
    <cellStyle name="20% - Accent5 2 5 4 2" xfId="7089" xr:uid="{8BCC943D-27D3-49D6-A71D-EBC7DCB97802}"/>
    <cellStyle name="20% - Accent5 2 5 5" xfId="3782" xr:uid="{F796569F-D3CC-4947-A452-3EB8F05EBAF3}"/>
    <cellStyle name="20% - Accent5 2 5 5 2" xfId="7941" xr:uid="{EBD68C61-FE4D-4C49-B8BF-D1F2AEA44118}"/>
    <cellStyle name="20% - Accent5 2 5 6" xfId="4612" xr:uid="{ED26D465-DB96-4D1F-9E4F-17C8468B5984}"/>
    <cellStyle name="20% - Accent5 2 5 7" xfId="8788" xr:uid="{742CF6EF-3DBE-4AD9-AFBF-651C653E0D80}"/>
    <cellStyle name="20% - Accent5 2 6" xfId="886" xr:uid="{024BCAAE-7866-429F-8056-00C1265D7722}"/>
    <cellStyle name="20% - Accent5 2 6 2" xfId="5018" xr:uid="{1F978F2D-136D-4286-93C5-BBEB218426C9}"/>
    <cellStyle name="20% - Accent5 2 7" xfId="1714" xr:uid="{7EB9EC7B-6BB8-4199-BD7C-C9FAA458146D}"/>
    <cellStyle name="20% - Accent5 2 7 2" xfId="5845" xr:uid="{EB55560C-72C3-4540-8DDB-38397BD2BC8E}"/>
    <cellStyle name="20% - Accent5 2 8" xfId="2538" xr:uid="{E9AE841C-F2B2-4F43-8D7E-5712D9F2559F}"/>
    <cellStyle name="20% - Accent5 2 8 2" xfId="6669" xr:uid="{D67D9ED8-65A3-4715-9374-093C87B5BBFF}"/>
    <cellStyle name="20% - Accent5 2 9" xfId="3362" xr:uid="{250B8432-EBD2-4D09-B91C-0469120C016F}"/>
    <cellStyle name="20% - Accent5 2 9 2" xfId="7521" xr:uid="{6A4F9B49-55A7-4AA4-B25F-C4D27F99F3AC}"/>
    <cellStyle name="20% - Accent5 3" xfId="73" xr:uid="{00000000-0005-0000-0000-00000F010000}"/>
    <cellStyle name="20% - Accent5 3 10" xfId="4205" xr:uid="{BE54B7EB-9A48-4E3D-8D32-67F45696E844}"/>
    <cellStyle name="20% - Accent5 3 11" xfId="8381" xr:uid="{F6D9CC83-CB19-4DA0-BDC6-4E86A8B6C4BE}"/>
    <cellStyle name="20% - Accent5 3 2" xfId="126" xr:uid="{00000000-0005-0000-0000-000010010000}"/>
    <cellStyle name="20% - Accent5 3 2 10" xfId="8434" xr:uid="{EC9B5877-0D0F-488B-99C1-A9F3A38CB86B}"/>
    <cellStyle name="20% - Accent5 3 2 2" xfId="231" xr:uid="{00000000-0005-0000-0000-000011010000}"/>
    <cellStyle name="20% - Accent5 3 2 2 2" xfId="440" xr:uid="{00000000-0005-0000-0000-000012010000}"/>
    <cellStyle name="20% - Accent5 3 2 2 2 2" xfId="857" xr:uid="{00000000-0005-0000-0000-000013010000}"/>
    <cellStyle name="20% - Accent5 3 2 2 2 2 2" xfId="1683" xr:uid="{E18287E5-9980-4F8B-B879-AC72FF0A0688}"/>
    <cellStyle name="20% - Accent5 3 2 2 2 2 2 2" xfId="5815" xr:uid="{4EF53B9E-EAC2-46F9-9091-86D164DC98F7}"/>
    <cellStyle name="20% - Accent5 3 2 2 2 2 3" xfId="2511" xr:uid="{8564DBA5-033B-42D4-9048-5EB339A99C31}"/>
    <cellStyle name="20% - Accent5 3 2 2 2 2 3 2" xfId="6642" xr:uid="{48734AA7-DF47-4F38-B9A5-D94297F75346}"/>
    <cellStyle name="20% - Accent5 3 2 2 2 2 4" xfId="3335" xr:uid="{C4344DD7-0E54-417E-ABC5-982B1A69BD66}"/>
    <cellStyle name="20% - Accent5 3 2 2 2 2 4 2" xfId="7466" xr:uid="{373ADB2D-63C2-4A2A-BBF1-FFE91F20CFA2}"/>
    <cellStyle name="20% - Accent5 3 2 2 2 2 5" xfId="4159" xr:uid="{0D3C6C29-ABFB-4E4B-AE99-54F792CA936F}"/>
    <cellStyle name="20% - Accent5 3 2 2 2 2 5 2" xfId="8318" xr:uid="{9693975E-12A7-4A90-8976-30916CF0DB9F}"/>
    <cellStyle name="20% - Accent5 3 2 2 2 2 6" xfId="4989" xr:uid="{800EF38A-5EF2-4450-83D9-3312B9A5C9E8}"/>
    <cellStyle name="20% - Accent5 3 2 2 2 2 7" xfId="9165" xr:uid="{5B5283EF-71DC-47C3-8DDB-488ABD079E93}"/>
    <cellStyle name="20% - Accent5 3 2 2 2 3" xfId="1266" xr:uid="{E1888C69-4610-468B-96B8-DC590EA86F4D}"/>
    <cellStyle name="20% - Accent5 3 2 2 2 3 2" xfId="5398" xr:uid="{8424671E-7D3B-4E2A-BB73-1FD16823248C}"/>
    <cellStyle name="20% - Accent5 3 2 2 2 4" xfId="2094" xr:uid="{134E4758-17AE-4BA0-8A66-CC403E172538}"/>
    <cellStyle name="20% - Accent5 3 2 2 2 4 2" xfId="6225" xr:uid="{B5BBBFC8-DC59-4048-84D3-BA6B0DD03310}"/>
    <cellStyle name="20% - Accent5 3 2 2 2 5" xfId="2918" xr:uid="{4FF21B54-E23E-46D6-A4E0-E04C1338008B}"/>
    <cellStyle name="20% - Accent5 3 2 2 2 5 2" xfId="7049" xr:uid="{AD306C94-693E-4B6C-8FB5-0DC9FFD5F745}"/>
    <cellStyle name="20% - Accent5 3 2 2 2 6" xfId="3742" xr:uid="{066AD2C6-7C0E-4C05-8B9F-991968E3BC12}"/>
    <cellStyle name="20% - Accent5 3 2 2 2 6 2" xfId="7901" xr:uid="{2503B0B1-D9B9-4077-A15A-11F7B7599D15}"/>
    <cellStyle name="20% - Accent5 3 2 2 2 7" xfId="4572" xr:uid="{7A9BF526-4E45-442C-9332-5B49CF6B9AEA}"/>
    <cellStyle name="20% - Accent5 3 2 2 2 8" xfId="8748" xr:uid="{0CB60263-1B10-44C4-95CC-D05FA567D07E}"/>
    <cellStyle name="20% - Accent5 3 2 2 3" xfId="649" xr:uid="{00000000-0005-0000-0000-000014010000}"/>
    <cellStyle name="20% - Accent5 3 2 2 3 2" xfId="1475" xr:uid="{0CD5E780-C32D-4AF3-8FFB-B8269D37537A}"/>
    <cellStyle name="20% - Accent5 3 2 2 3 2 2" xfId="5607" xr:uid="{32187DFC-4AA2-4499-A25C-AB49CB7229C4}"/>
    <cellStyle name="20% - Accent5 3 2 2 3 3" xfId="2303" xr:uid="{8B3B6B09-7846-488D-85DB-6E24BD7CE745}"/>
    <cellStyle name="20% - Accent5 3 2 2 3 3 2" xfId="6434" xr:uid="{712C3B07-9C5D-494C-88CC-01A86917D966}"/>
    <cellStyle name="20% - Accent5 3 2 2 3 4" xfId="3127" xr:uid="{34EE9300-E8D7-4E2D-BB00-5D48C54FD05E}"/>
    <cellStyle name="20% - Accent5 3 2 2 3 4 2" xfId="7258" xr:uid="{68F0B93C-E074-45B0-8E16-C0CA44ADC82B}"/>
    <cellStyle name="20% - Accent5 3 2 2 3 5" xfId="3951" xr:uid="{95FB7A11-61A9-4051-B60D-A57323F918C1}"/>
    <cellStyle name="20% - Accent5 3 2 2 3 5 2" xfId="8110" xr:uid="{0AFE2AD6-C517-4D42-9A7B-D4DC43A30925}"/>
    <cellStyle name="20% - Accent5 3 2 2 3 6" xfId="4781" xr:uid="{9005728B-CF32-4326-A1DF-7CC740310773}"/>
    <cellStyle name="20% - Accent5 3 2 2 3 7" xfId="8957" xr:uid="{966697C5-0375-4C0A-A833-811D52FDEEF0}"/>
    <cellStyle name="20% - Accent5 3 2 2 4" xfId="1057" xr:uid="{6CD9C84E-D3C5-43E9-BAC3-35A210ACAAEB}"/>
    <cellStyle name="20% - Accent5 3 2 2 4 2" xfId="5189" xr:uid="{96E1E3AB-DBC2-4638-853D-97BBAC1567BD}"/>
    <cellStyle name="20% - Accent5 3 2 2 5" xfId="1885" xr:uid="{175CF890-99BA-4CEE-96CA-04B40E2B265D}"/>
    <cellStyle name="20% - Accent5 3 2 2 5 2" xfId="6016" xr:uid="{0D50BB96-890A-4AC0-A60F-06DC323D357D}"/>
    <cellStyle name="20% - Accent5 3 2 2 6" xfId="2709" xr:uid="{AC6B542A-BA4C-4CF7-A86A-2584AF88BFE1}"/>
    <cellStyle name="20% - Accent5 3 2 2 6 2" xfId="6840" xr:uid="{414DE8C3-06F7-4DBD-B88C-0081FD22CC7F}"/>
    <cellStyle name="20% - Accent5 3 2 2 7" xfId="3533" xr:uid="{D5E894F8-F36C-4D89-99B8-6015408915BD}"/>
    <cellStyle name="20% - Accent5 3 2 2 7 2" xfId="7692" xr:uid="{A9E4A436-56E4-45E9-AC80-8E7998C23DA2}"/>
    <cellStyle name="20% - Accent5 3 2 2 8" xfId="4363" xr:uid="{697FB13C-C9FC-46ED-BCCD-F23B8045404E}"/>
    <cellStyle name="20% - Accent5 3 2 2 9" xfId="8539" xr:uid="{33C00808-1856-4E80-8D3E-FE5D5DF6625D}"/>
    <cellStyle name="20% - Accent5 3 2 3" xfId="336" xr:uid="{00000000-0005-0000-0000-000015010000}"/>
    <cellStyle name="20% - Accent5 3 2 3 2" xfId="753" xr:uid="{00000000-0005-0000-0000-000016010000}"/>
    <cellStyle name="20% - Accent5 3 2 3 2 2" xfId="1579" xr:uid="{E3404C51-F224-4F72-ADEF-A8F005706C79}"/>
    <cellStyle name="20% - Accent5 3 2 3 2 2 2" xfId="5711" xr:uid="{E9C90E60-EE48-4B10-9B3A-A7180F4B490D}"/>
    <cellStyle name="20% - Accent5 3 2 3 2 3" xfId="2407" xr:uid="{15639693-B686-479B-9534-8CC9F55CDD1D}"/>
    <cellStyle name="20% - Accent5 3 2 3 2 3 2" xfId="6538" xr:uid="{904356D6-EE59-4B9A-B9F4-2737B5A802CC}"/>
    <cellStyle name="20% - Accent5 3 2 3 2 4" xfId="3231" xr:uid="{92E4736C-E1C8-4979-8132-01EECE34E90A}"/>
    <cellStyle name="20% - Accent5 3 2 3 2 4 2" xfId="7362" xr:uid="{45EC9966-8E04-4A7A-A79F-EB65438C4D7B}"/>
    <cellStyle name="20% - Accent5 3 2 3 2 5" xfId="4055" xr:uid="{73573DA6-4DAC-424C-9F8E-C29EAE57406E}"/>
    <cellStyle name="20% - Accent5 3 2 3 2 5 2" xfId="8214" xr:uid="{3A2533F8-B3E4-4527-B9D3-E55AE6E9EE2E}"/>
    <cellStyle name="20% - Accent5 3 2 3 2 6" xfId="4885" xr:uid="{7392A7D5-622E-4E2A-87F0-9D526959311F}"/>
    <cellStyle name="20% - Accent5 3 2 3 2 7" xfId="9061" xr:uid="{155F7B16-DAEE-48A3-BF2F-25483F83CAF9}"/>
    <cellStyle name="20% - Accent5 3 2 3 3" xfId="1162" xr:uid="{87539ADB-196B-4409-80F2-4E0B5DE5E8D9}"/>
    <cellStyle name="20% - Accent5 3 2 3 3 2" xfId="5294" xr:uid="{BC548616-9306-400A-A0E4-4D70297BA29F}"/>
    <cellStyle name="20% - Accent5 3 2 3 4" xfId="1990" xr:uid="{8F5A962B-9568-4F9E-9219-1ECD51722E4E}"/>
    <cellStyle name="20% - Accent5 3 2 3 4 2" xfId="6121" xr:uid="{58B4CF99-694E-4DB4-A2ED-D0903E6D061C}"/>
    <cellStyle name="20% - Accent5 3 2 3 5" xfId="2814" xr:uid="{86518DAE-9E4F-462C-BE22-1A0A8AAA6168}"/>
    <cellStyle name="20% - Accent5 3 2 3 5 2" xfId="6945" xr:uid="{4962C2AD-8B03-458F-A8EA-F2E93930C156}"/>
    <cellStyle name="20% - Accent5 3 2 3 6" xfId="3638" xr:uid="{410D40C8-E9BE-4A37-AEF5-876C760E039A}"/>
    <cellStyle name="20% - Accent5 3 2 3 6 2" xfId="7797" xr:uid="{2008576C-1A75-4920-AA96-7AE17BA6EC9E}"/>
    <cellStyle name="20% - Accent5 3 2 3 7" xfId="4468" xr:uid="{002465A1-B4A7-40F5-B6E3-124DB2D5E29E}"/>
    <cellStyle name="20% - Accent5 3 2 3 8" xfId="8644" xr:uid="{63C64644-08B5-4F78-906A-5C4C65EE41D5}"/>
    <cellStyle name="20% - Accent5 3 2 4" xfId="545" xr:uid="{00000000-0005-0000-0000-000017010000}"/>
    <cellStyle name="20% - Accent5 3 2 4 2" xfId="1371" xr:uid="{E02E0BDF-FC43-4DDD-A28A-5DDA949AF2F0}"/>
    <cellStyle name="20% - Accent5 3 2 4 2 2" xfId="5503" xr:uid="{CF2BF09C-0A57-4226-95FC-562D673BF1A0}"/>
    <cellStyle name="20% - Accent5 3 2 4 3" xfId="2199" xr:uid="{E7717F2A-663E-4CD9-8B9A-E787A8B0492E}"/>
    <cellStyle name="20% - Accent5 3 2 4 3 2" xfId="6330" xr:uid="{55496685-ABEA-4220-9E00-37F24175D563}"/>
    <cellStyle name="20% - Accent5 3 2 4 4" xfId="3023" xr:uid="{697564D2-DE56-4498-90B2-2C04B7044434}"/>
    <cellStyle name="20% - Accent5 3 2 4 4 2" xfId="7154" xr:uid="{1464591A-F7DE-4F56-BB29-2640D2180309}"/>
    <cellStyle name="20% - Accent5 3 2 4 5" xfId="3847" xr:uid="{72C80387-FC94-41E8-8C80-BF8EF29A3C2C}"/>
    <cellStyle name="20% - Accent5 3 2 4 5 2" xfId="8006" xr:uid="{BC8DD0BF-9FC3-48F7-AC0B-FE200F99917A}"/>
    <cellStyle name="20% - Accent5 3 2 4 6" xfId="4677" xr:uid="{424D9D91-9F59-47A0-88D1-3567951160B8}"/>
    <cellStyle name="20% - Accent5 3 2 4 7" xfId="8853" xr:uid="{25593132-F8A0-4681-A454-583FC08C3DC0}"/>
    <cellStyle name="20% - Accent5 3 2 5" xfId="952" xr:uid="{503B693B-66BA-4148-8C9C-0DF7EA577AAB}"/>
    <cellStyle name="20% - Accent5 3 2 5 2" xfId="5084" xr:uid="{F0F8DCDE-C713-412D-ADE2-94020750F8D5}"/>
    <cellStyle name="20% - Accent5 3 2 6" xfId="1780" xr:uid="{995EED82-0055-43B1-B547-55A15606D2A8}"/>
    <cellStyle name="20% - Accent5 3 2 6 2" xfId="5911" xr:uid="{408AF86A-F53A-452F-8677-F496AEA0F7D6}"/>
    <cellStyle name="20% - Accent5 3 2 7" xfId="2604" xr:uid="{07A51449-DAA3-4BA6-83AB-40A750CF2CE7}"/>
    <cellStyle name="20% - Accent5 3 2 7 2" xfId="6735" xr:uid="{2BFB16E8-11D3-4DB1-BB01-65A12CB95F5F}"/>
    <cellStyle name="20% - Accent5 3 2 8" xfId="3428" xr:uid="{1A461DB2-1F6D-440E-95AC-84D54A2D9412}"/>
    <cellStyle name="20% - Accent5 3 2 8 2" xfId="7587" xr:uid="{219FE53C-1012-47EF-A569-AA6D553D1BE6}"/>
    <cellStyle name="20% - Accent5 3 2 9" xfId="4258" xr:uid="{BF3A5006-A761-4B23-AB99-0C7BAEB8E900}"/>
    <cellStyle name="20% - Accent5 3 3" xfId="179" xr:uid="{00000000-0005-0000-0000-000018010000}"/>
    <cellStyle name="20% - Accent5 3 3 2" xfId="388" xr:uid="{00000000-0005-0000-0000-000019010000}"/>
    <cellStyle name="20% - Accent5 3 3 2 2" xfId="805" xr:uid="{00000000-0005-0000-0000-00001A010000}"/>
    <cellStyle name="20% - Accent5 3 3 2 2 2" xfId="1631" xr:uid="{94A4CCC8-0E50-474F-89EE-93E8C8C427C6}"/>
    <cellStyle name="20% - Accent5 3 3 2 2 2 2" xfId="5763" xr:uid="{11673C13-B7FF-4112-8BFA-96825AC8F262}"/>
    <cellStyle name="20% - Accent5 3 3 2 2 3" xfId="2459" xr:uid="{E40F8E92-E1D9-4C06-850D-0963360DDCF6}"/>
    <cellStyle name="20% - Accent5 3 3 2 2 3 2" xfId="6590" xr:uid="{39C602DB-A0A9-4650-AFD7-4BBCB1C3BC24}"/>
    <cellStyle name="20% - Accent5 3 3 2 2 4" xfId="3283" xr:uid="{0D78DA68-7B1E-4C58-8CF2-E70D337D93BB}"/>
    <cellStyle name="20% - Accent5 3 3 2 2 4 2" xfId="7414" xr:uid="{31E2C56F-D7DC-4AFF-99AB-BED652DD3266}"/>
    <cellStyle name="20% - Accent5 3 3 2 2 5" xfId="4107" xr:uid="{13F9A174-ADBE-476E-90ED-F12199DC83EE}"/>
    <cellStyle name="20% - Accent5 3 3 2 2 5 2" xfId="8266" xr:uid="{C1B3349A-9B74-4550-A1DB-4855A3363EAF}"/>
    <cellStyle name="20% - Accent5 3 3 2 2 6" xfId="4937" xr:uid="{580795E3-C641-4CD5-85BB-D90D6BC247D8}"/>
    <cellStyle name="20% - Accent5 3 3 2 2 7" xfId="9113" xr:uid="{3E540F91-299A-4C52-89E9-3906ECEE28D8}"/>
    <cellStyle name="20% - Accent5 3 3 2 3" xfId="1214" xr:uid="{93DC2AAF-BB7B-46D9-8AB0-9C32EF1E0486}"/>
    <cellStyle name="20% - Accent5 3 3 2 3 2" xfId="5346" xr:uid="{51EC3965-1FE8-469F-8965-37711FCCCF58}"/>
    <cellStyle name="20% - Accent5 3 3 2 4" xfId="2042" xr:uid="{C37223AD-9120-42B2-8029-03AA0AA712A6}"/>
    <cellStyle name="20% - Accent5 3 3 2 4 2" xfId="6173" xr:uid="{FB3CB665-85C4-48DD-BA92-3FA4CFB1AABE}"/>
    <cellStyle name="20% - Accent5 3 3 2 5" xfId="2866" xr:uid="{6998D1A7-17D6-4DAC-93D7-060C9E4CAAFC}"/>
    <cellStyle name="20% - Accent5 3 3 2 5 2" xfId="6997" xr:uid="{105044FF-A95E-46BD-ADA6-72167F47D799}"/>
    <cellStyle name="20% - Accent5 3 3 2 6" xfId="3690" xr:uid="{68CFD137-62EF-4E38-BA17-8A5C067897BB}"/>
    <cellStyle name="20% - Accent5 3 3 2 6 2" xfId="7849" xr:uid="{80245D81-4024-499F-821B-23855D8A97F8}"/>
    <cellStyle name="20% - Accent5 3 3 2 7" xfId="4520" xr:uid="{E934EBAD-45D9-4540-8429-C64C7CE3F434}"/>
    <cellStyle name="20% - Accent5 3 3 2 8" xfId="8696" xr:uid="{932217C1-230B-4B20-8DC9-B773368BA2F9}"/>
    <cellStyle name="20% - Accent5 3 3 3" xfId="597" xr:uid="{00000000-0005-0000-0000-00001B010000}"/>
    <cellStyle name="20% - Accent5 3 3 3 2" xfId="1423" xr:uid="{87D3155A-BF4F-46E9-8F2C-56F0A9E7E0D0}"/>
    <cellStyle name="20% - Accent5 3 3 3 2 2" xfId="5555" xr:uid="{DA17E32A-3BBD-4A0F-BC78-F206D09CD0BF}"/>
    <cellStyle name="20% - Accent5 3 3 3 3" xfId="2251" xr:uid="{6166BD02-B02F-4FC0-A640-81C5D93E02C9}"/>
    <cellStyle name="20% - Accent5 3 3 3 3 2" xfId="6382" xr:uid="{D9AD0B75-43DD-499F-B686-F0EA55E73090}"/>
    <cellStyle name="20% - Accent5 3 3 3 4" xfId="3075" xr:uid="{5F9047AB-EC72-4DB7-B8ED-68B506EDBD0E}"/>
    <cellStyle name="20% - Accent5 3 3 3 4 2" xfId="7206" xr:uid="{25F91C83-F7CC-4A64-A123-227BBDC6624F}"/>
    <cellStyle name="20% - Accent5 3 3 3 5" xfId="3899" xr:uid="{31A15A27-095A-4FD5-A0F3-8275E1DFAA72}"/>
    <cellStyle name="20% - Accent5 3 3 3 5 2" xfId="8058" xr:uid="{4E00E02C-F1F8-455B-B7D0-7FFF7B1CF199}"/>
    <cellStyle name="20% - Accent5 3 3 3 6" xfId="4729" xr:uid="{916ABAA9-C601-45EA-B318-98775D7F1944}"/>
    <cellStyle name="20% - Accent5 3 3 3 7" xfId="8905" xr:uid="{5BB28709-73FA-4E75-9CD9-CF96860B1409}"/>
    <cellStyle name="20% - Accent5 3 3 4" xfId="1005" xr:uid="{640FFFCF-C4C6-49E7-B13D-380F89E74378}"/>
    <cellStyle name="20% - Accent5 3 3 4 2" xfId="5137" xr:uid="{CE08800D-6259-4FED-9B0E-2E8AABF1CFCD}"/>
    <cellStyle name="20% - Accent5 3 3 5" xfId="1833" xr:uid="{73ADF487-7F69-4787-84DA-F672E19C8F61}"/>
    <cellStyle name="20% - Accent5 3 3 5 2" xfId="5964" xr:uid="{9C1983FB-26C4-4E89-B5F2-807E2A9B3252}"/>
    <cellStyle name="20% - Accent5 3 3 6" xfId="2657" xr:uid="{64E72523-72DF-49F5-BCF2-91438086BA67}"/>
    <cellStyle name="20% - Accent5 3 3 6 2" xfId="6788" xr:uid="{83C9F100-AB36-44E3-A75C-83BC9FFCD6E0}"/>
    <cellStyle name="20% - Accent5 3 3 7" xfId="3481" xr:uid="{08B6EB95-63EB-4CA1-AD2A-CC357FFDD719}"/>
    <cellStyle name="20% - Accent5 3 3 7 2" xfId="7640" xr:uid="{74E844A7-8BE2-4962-B428-6DE762C03830}"/>
    <cellStyle name="20% - Accent5 3 3 8" xfId="4311" xr:uid="{0DFA365E-67BF-4EEA-AF1B-B9CBCF3CE89E}"/>
    <cellStyle name="20% - Accent5 3 3 9" xfId="8487" xr:uid="{74C76BF2-7E88-4384-96F8-F871CD609AC8}"/>
    <cellStyle name="20% - Accent5 3 4" xfId="284" xr:uid="{00000000-0005-0000-0000-00001C010000}"/>
    <cellStyle name="20% - Accent5 3 4 2" xfId="701" xr:uid="{00000000-0005-0000-0000-00001D010000}"/>
    <cellStyle name="20% - Accent5 3 4 2 2" xfId="1527" xr:uid="{F237900C-0019-49FC-AA83-EDAF6E414A63}"/>
    <cellStyle name="20% - Accent5 3 4 2 2 2" xfId="5659" xr:uid="{4849867E-0B69-423C-9EED-FE8A29582CC2}"/>
    <cellStyle name="20% - Accent5 3 4 2 3" xfId="2355" xr:uid="{C4542336-831B-46BD-85A7-1940DB263E89}"/>
    <cellStyle name="20% - Accent5 3 4 2 3 2" xfId="6486" xr:uid="{0F8667A1-AC6D-448F-84CB-23200F644D20}"/>
    <cellStyle name="20% - Accent5 3 4 2 4" xfId="3179" xr:uid="{2FE49D9C-9D6C-4DFA-844B-0F59F9D0F536}"/>
    <cellStyle name="20% - Accent5 3 4 2 4 2" xfId="7310" xr:uid="{0692AD5C-1CF6-4403-9610-149AB9F41EEE}"/>
    <cellStyle name="20% - Accent5 3 4 2 5" xfId="4003" xr:uid="{32550A5B-F3C3-41AA-8027-268B9207C8E7}"/>
    <cellStyle name="20% - Accent5 3 4 2 5 2" xfId="8162" xr:uid="{56F9EC80-D83C-49B4-85A6-188FEC406C03}"/>
    <cellStyle name="20% - Accent5 3 4 2 6" xfId="4833" xr:uid="{C1BFD63D-50AE-413A-B6C8-1DCAD8E38873}"/>
    <cellStyle name="20% - Accent5 3 4 2 7" xfId="9009" xr:uid="{B102D0BF-1218-49BD-85A3-E99152FF0ABA}"/>
    <cellStyle name="20% - Accent5 3 4 3" xfId="1110" xr:uid="{86999ABA-578B-4DBB-810B-7906FB4A0133}"/>
    <cellStyle name="20% - Accent5 3 4 3 2" xfId="5242" xr:uid="{403C28A9-6AA6-49B4-AEEA-480406F2EA73}"/>
    <cellStyle name="20% - Accent5 3 4 4" xfId="1938" xr:uid="{993BF7DA-5734-428E-AD0E-4A1755869ABD}"/>
    <cellStyle name="20% - Accent5 3 4 4 2" xfId="6069" xr:uid="{01335FD3-BA37-4092-A4B5-1567A974385F}"/>
    <cellStyle name="20% - Accent5 3 4 5" xfId="2762" xr:uid="{182FBC24-F346-4B40-9532-AC64F6B839D3}"/>
    <cellStyle name="20% - Accent5 3 4 5 2" xfId="6893" xr:uid="{10D0A2F4-CF6C-4092-95AF-E2CDAC4001B5}"/>
    <cellStyle name="20% - Accent5 3 4 6" xfId="3586" xr:uid="{4856D4F2-4DFD-4C77-BD56-B3459927B864}"/>
    <cellStyle name="20% - Accent5 3 4 6 2" xfId="7745" xr:uid="{B2D408EB-69FF-43D7-AC0B-F326C7E43ADF}"/>
    <cellStyle name="20% - Accent5 3 4 7" xfId="4416" xr:uid="{311B7F6E-E9B8-40F5-9CFD-2D87E71947E1}"/>
    <cellStyle name="20% - Accent5 3 4 8" xfId="8592" xr:uid="{04B4211C-CB21-47A9-BBF8-7330CF4EABC5}"/>
    <cellStyle name="20% - Accent5 3 5" xfId="493" xr:uid="{00000000-0005-0000-0000-00001E010000}"/>
    <cellStyle name="20% - Accent5 3 5 2" xfId="1319" xr:uid="{8DFA2E4F-4FBF-4BDB-AAA2-41D100406BC3}"/>
    <cellStyle name="20% - Accent5 3 5 2 2" xfId="5451" xr:uid="{4BBF4D58-3751-402F-A5C9-8D17CEC00678}"/>
    <cellStyle name="20% - Accent5 3 5 3" xfId="2147" xr:uid="{FE40E540-AF08-42C6-B584-1802FF9C041F}"/>
    <cellStyle name="20% - Accent5 3 5 3 2" xfId="6278" xr:uid="{688DF395-67D9-4E27-A8D5-EAF44750425A}"/>
    <cellStyle name="20% - Accent5 3 5 4" xfId="2971" xr:uid="{61DC5AA1-D471-4396-8ABE-7682FFA9AE73}"/>
    <cellStyle name="20% - Accent5 3 5 4 2" xfId="7102" xr:uid="{05C88676-646D-4915-855E-5F319B988FB9}"/>
    <cellStyle name="20% - Accent5 3 5 5" xfId="3795" xr:uid="{F236F330-7A14-4F96-ABD1-433EE600A9AB}"/>
    <cellStyle name="20% - Accent5 3 5 5 2" xfId="7954" xr:uid="{8FA7CF6E-7C96-470F-9FE8-069C866491F2}"/>
    <cellStyle name="20% - Accent5 3 5 6" xfId="4625" xr:uid="{5CAB9981-3D27-4D29-BBDE-150A9051376D}"/>
    <cellStyle name="20% - Accent5 3 5 7" xfId="8801" xr:uid="{467E182E-673D-4787-9D2D-0C07A481AFDF}"/>
    <cellStyle name="20% - Accent5 3 6" xfId="899" xr:uid="{4DBCB792-CAE9-4208-8688-5928B27F84E0}"/>
    <cellStyle name="20% - Accent5 3 6 2" xfId="5031" xr:uid="{EF5CA0F5-5FD5-4EE3-A816-834AB809D919}"/>
    <cellStyle name="20% - Accent5 3 7" xfId="1727" xr:uid="{6EB5C4CF-FA2A-4A9F-8433-D5D7443F47D2}"/>
    <cellStyle name="20% - Accent5 3 7 2" xfId="5858" xr:uid="{A826D5C9-A64A-4104-B7C6-959AFFA91749}"/>
    <cellStyle name="20% - Accent5 3 8" xfId="2551" xr:uid="{AB379CB1-5CFD-4F39-AA08-A92C3518DD94}"/>
    <cellStyle name="20% - Accent5 3 8 2" xfId="6682" xr:uid="{B4FB7668-2AF2-46FF-98CF-15E230C10C89}"/>
    <cellStyle name="20% - Accent5 3 9" xfId="3375" xr:uid="{E9E5821F-86FF-4669-B0CA-762B839ECE0E}"/>
    <cellStyle name="20% - Accent5 3 9 2" xfId="7534" xr:uid="{CB6BAEF6-AB8A-4255-8B6E-43279E8D7841}"/>
    <cellStyle name="20% - Accent5 4" xfId="86" xr:uid="{00000000-0005-0000-0000-00001F010000}"/>
    <cellStyle name="20% - Accent5 4 10" xfId="8394" xr:uid="{F26104E6-6F3A-47CE-80F6-389E4B3E7EC5}"/>
    <cellStyle name="20% - Accent5 4 2" xfId="192" xr:uid="{00000000-0005-0000-0000-000020010000}"/>
    <cellStyle name="20% - Accent5 4 2 2" xfId="401" xr:uid="{00000000-0005-0000-0000-000021010000}"/>
    <cellStyle name="20% - Accent5 4 2 2 2" xfId="818" xr:uid="{00000000-0005-0000-0000-000022010000}"/>
    <cellStyle name="20% - Accent5 4 2 2 2 2" xfId="1644" xr:uid="{DAB0D478-D079-4F81-AD9D-48D59F46A2C7}"/>
    <cellStyle name="20% - Accent5 4 2 2 2 2 2" xfId="5776" xr:uid="{0803AA0A-9EDF-4714-A33C-F452FEE91FC4}"/>
    <cellStyle name="20% - Accent5 4 2 2 2 3" xfId="2472" xr:uid="{EA7A2279-7923-4D27-A90E-4BB4826759F9}"/>
    <cellStyle name="20% - Accent5 4 2 2 2 3 2" xfId="6603" xr:uid="{8A42F358-020E-41D8-BE6E-653F05114096}"/>
    <cellStyle name="20% - Accent5 4 2 2 2 4" xfId="3296" xr:uid="{2EC0EEC3-C8EF-461D-AD9E-150A38D3A185}"/>
    <cellStyle name="20% - Accent5 4 2 2 2 4 2" xfId="7427" xr:uid="{97484889-1D26-41D5-8E60-33C6F3B2683A}"/>
    <cellStyle name="20% - Accent5 4 2 2 2 5" xfId="4120" xr:uid="{A6C868C3-3901-463C-A772-0A1438380696}"/>
    <cellStyle name="20% - Accent5 4 2 2 2 5 2" xfId="8279" xr:uid="{6CBF2567-D0D9-475A-85C9-1BA8EBBECBC3}"/>
    <cellStyle name="20% - Accent5 4 2 2 2 6" xfId="4950" xr:uid="{2133CEE1-A992-43DB-8346-E8DDB700A0CF}"/>
    <cellStyle name="20% - Accent5 4 2 2 2 7" xfId="9126" xr:uid="{ADB21A38-DADB-4CA6-B19D-DDA25B32D69A}"/>
    <cellStyle name="20% - Accent5 4 2 2 3" xfId="1227" xr:uid="{B785094E-94AA-4FB3-B8C0-27288F97F512}"/>
    <cellStyle name="20% - Accent5 4 2 2 3 2" xfId="5359" xr:uid="{228D3151-57B3-4751-9921-7A522D08E1B6}"/>
    <cellStyle name="20% - Accent5 4 2 2 4" xfId="2055" xr:uid="{05E41B8E-1B8E-48CF-8944-7A306596D69F}"/>
    <cellStyle name="20% - Accent5 4 2 2 4 2" xfId="6186" xr:uid="{350E4ACE-EB60-4894-B51B-FFB4A7E058BB}"/>
    <cellStyle name="20% - Accent5 4 2 2 5" xfId="2879" xr:uid="{BE62C8F3-6C9C-41C6-A7A4-8D0D9C68EE08}"/>
    <cellStyle name="20% - Accent5 4 2 2 5 2" xfId="7010" xr:uid="{0A186A3C-7FBD-424B-8355-4293EBDFF985}"/>
    <cellStyle name="20% - Accent5 4 2 2 6" xfId="3703" xr:uid="{A1E1CD67-E4BA-4773-98FB-F2EE5C649369}"/>
    <cellStyle name="20% - Accent5 4 2 2 6 2" xfId="7862" xr:uid="{869540FB-F63C-40E2-94F9-073F7B3697C0}"/>
    <cellStyle name="20% - Accent5 4 2 2 7" xfId="4533" xr:uid="{85442153-863F-4B61-B1BE-F69D548A46D5}"/>
    <cellStyle name="20% - Accent5 4 2 2 8" xfId="8709" xr:uid="{419B620C-6DEA-47EC-8531-89A5CB739476}"/>
    <cellStyle name="20% - Accent5 4 2 3" xfId="610" xr:uid="{00000000-0005-0000-0000-000023010000}"/>
    <cellStyle name="20% - Accent5 4 2 3 2" xfId="1436" xr:uid="{6048F402-71E2-4032-B24A-73995A9AB72F}"/>
    <cellStyle name="20% - Accent5 4 2 3 2 2" xfId="5568" xr:uid="{F62F902A-AC20-483C-9CA5-A2E449767233}"/>
    <cellStyle name="20% - Accent5 4 2 3 3" xfId="2264" xr:uid="{36BD9A75-3280-433B-8996-78EF875B4D8A}"/>
    <cellStyle name="20% - Accent5 4 2 3 3 2" xfId="6395" xr:uid="{5491A2F3-1E58-451B-B01C-26E5CEC9D990}"/>
    <cellStyle name="20% - Accent5 4 2 3 4" xfId="3088" xr:uid="{5F0AA545-7D47-4F6D-86F2-19375A236742}"/>
    <cellStyle name="20% - Accent5 4 2 3 4 2" xfId="7219" xr:uid="{56A55300-A081-4015-865B-382734E4F0DD}"/>
    <cellStyle name="20% - Accent5 4 2 3 5" xfId="3912" xr:uid="{3770A04B-795D-4555-A16B-3D7D655CF98D}"/>
    <cellStyle name="20% - Accent5 4 2 3 5 2" xfId="8071" xr:uid="{505A2A15-263E-468B-9803-2AB2386B8FE1}"/>
    <cellStyle name="20% - Accent5 4 2 3 6" xfId="4742" xr:uid="{041428FC-363A-439C-80CF-5BE52125E4CA}"/>
    <cellStyle name="20% - Accent5 4 2 3 7" xfId="8918" xr:uid="{FD06E912-C895-4750-A752-7D1B463AAFC1}"/>
    <cellStyle name="20% - Accent5 4 2 4" xfId="1018" xr:uid="{58EB4B17-7C35-4D92-9818-C9FB970D8F87}"/>
    <cellStyle name="20% - Accent5 4 2 4 2" xfId="5150" xr:uid="{22EBA65D-75BF-4D51-A9EE-B5C46394775F}"/>
    <cellStyle name="20% - Accent5 4 2 5" xfId="1846" xr:uid="{1021F653-20D2-47F7-9307-3413330379C8}"/>
    <cellStyle name="20% - Accent5 4 2 5 2" xfId="5977" xr:uid="{3BDC7948-F102-42D1-9D1B-5D00BDB78EB8}"/>
    <cellStyle name="20% - Accent5 4 2 6" xfId="2670" xr:uid="{6A5D4D91-1FA8-43CB-A5D9-1DA3EA1DEA72}"/>
    <cellStyle name="20% - Accent5 4 2 6 2" xfId="6801" xr:uid="{C8C3DD37-5476-4D97-8380-C22ACE6797DF}"/>
    <cellStyle name="20% - Accent5 4 2 7" xfId="3494" xr:uid="{65281CDF-8D63-4A00-B5ED-114FA70A806C}"/>
    <cellStyle name="20% - Accent5 4 2 7 2" xfId="7653" xr:uid="{1408FF7F-21E9-4419-83F0-E57ABF7C849A}"/>
    <cellStyle name="20% - Accent5 4 2 8" xfId="4324" xr:uid="{D4429E04-86B4-44DA-872E-8F7C6B9DE374}"/>
    <cellStyle name="20% - Accent5 4 2 9" xfId="8500" xr:uid="{5CDCC686-6A17-4FAA-BC61-C8E715AEFCA8}"/>
    <cellStyle name="20% - Accent5 4 3" xfId="297" xr:uid="{00000000-0005-0000-0000-000024010000}"/>
    <cellStyle name="20% - Accent5 4 3 2" xfId="714" xr:uid="{00000000-0005-0000-0000-000025010000}"/>
    <cellStyle name="20% - Accent5 4 3 2 2" xfId="1540" xr:uid="{9E448604-36F5-457E-B48E-568DC6FC3A09}"/>
    <cellStyle name="20% - Accent5 4 3 2 2 2" xfId="5672" xr:uid="{A2894E1D-800D-4240-BF92-017534EC07BD}"/>
    <cellStyle name="20% - Accent5 4 3 2 3" xfId="2368" xr:uid="{7D1762A1-1794-49D5-A28E-FE47CD72E04B}"/>
    <cellStyle name="20% - Accent5 4 3 2 3 2" xfId="6499" xr:uid="{1B26BC9D-FD3C-4F99-984F-C702DACF2A4D}"/>
    <cellStyle name="20% - Accent5 4 3 2 4" xfId="3192" xr:uid="{2D692CB0-7C57-4715-948F-792C96F7EEE2}"/>
    <cellStyle name="20% - Accent5 4 3 2 4 2" xfId="7323" xr:uid="{3415C1BB-5EB1-4226-8E20-960FD8780180}"/>
    <cellStyle name="20% - Accent5 4 3 2 5" xfId="4016" xr:uid="{359F17BE-7E29-4BFF-8C14-EB2A6E5964A7}"/>
    <cellStyle name="20% - Accent5 4 3 2 5 2" xfId="8175" xr:uid="{FD1FE61A-08BE-4422-8405-99C2CDAC33CB}"/>
    <cellStyle name="20% - Accent5 4 3 2 6" xfId="4846" xr:uid="{7CFC55F9-4DE2-4AD6-830D-DD1B41EB92EC}"/>
    <cellStyle name="20% - Accent5 4 3 2 7" xfId="9022" xr:uid="{90C1DEFF-77B8-4E73-B666-A36F0492A5E5}"/>
    <cellStyle name="20% - Accent5 4 3 3" xfId="1123" xr:uid="{15ED1F35-3E8C-4049-872A-49FF72678C2B}"/>
    <cellStyle name="20% - Accent5 4 3 3 2" xfId="5255" xr:uid="{7D973C36-4E48-4871-8AEB-D5E0059705C3}"/>
    <cellStyle name="20% - Accent5 4 3 4" xfId="1951" xr:uid="{55C79DA9-AACC-4730-B790-D065FFF991B1}"/>
    <cellStyle name="20% - Accent5 4 3 4 2" xfId="6082" xr:uid="{67B3D4B1-0E0E-4412-9456-5A2E550F9069}"/>
    <cellStyle name="20% - Accent5 4 3 5" xfId="2775" xr:uid="{33496A81-DA7C-4004-978C-88736D4E9D21}"/>
    <cellStyle name="20% - Accent5 4 3 5 2" xfId="6906" xr:uid="{3EF0B694-5E98-41FC-9EB6-A8AE0BEACCF1}"/>
    <cellStyle name="20% - Accent5 4 3 6" xfId="3599" xr:uid="{16950BF0-55B3-4C00-9180-A4D9FB80806A}"/>
    <cellStyle name="20% - Accent5 4 3 6 2" xfId="7758" xr:uid="{53F83BA3-1F63-4D86-80C3-322E248DCB35}"/>
    <cellStyle name="20% - Accent5 4 3 7" xfId="4429" xr:uid="{464CFA1A-F8A9-48D5-890F-9E8E6E134E28}"/>
    <cellStyle name="20% - Accent5 4 3 8" xfId="8605" xr:uid="{C1A7FE89-2D0E-42AB-AB7E-F9E3F21EADC3}"/>
    <cellStyle name="20% - Accent5 4 4" xfId="506" xr:uid="{00000000-0005-0000-0000-000026010000}"/>
    <cellStyle name="20% - Accent5 4 4 2" xfId="1332" xr:uid="{565AF08A-560C-45FB-A30C-F0FAD8CD9B06}"/>
    <cellStyle name="20% - Accent5 4 4 2 2" xfId="5464" xr:uid="{A3B05B0B-1036-4F18-AEEC-6CB25911635E}"/>
    <cellStyle name="20% - Accent5 4 4 3" xfId="2160" xr:uid="{BE1F9C27-2BCA-4C23-B439-60A5AE8F9933}"/>
    <cellStyle name="20% - Accent5 4 4 3 2" xfId="6291" xr:uid="{BD8ECD2E-E41B-4820-8449-C7C1D1934D33}"/>
    <cellStyle name="20% - Accent5 4 4 4" xfId="2984" xr:uid="{07F1BA3C-E2C8-4EB1-9AFD-2CA605EA75E1}"/>
    <cellStyle name="20% - Accent5 4 4 4 2" xfId="7115" xr:uid="{EF651AB5-8362-470C-8F7F-1B312BBE3A0F}"/>
    <cellStyle name="20% - Accent5 4 4 5" xfId="3808" xr:uid="{553ACE7B-8E77-477F-AA0F-5C70D45FA944}"/>
    <cellStyle name="20% - Accent5 4 4 5 2" xfId="7967" xr:uid="{2E13B5E5-947B-409B-BEA1-31F2C67A5764}"/>
    <cellStyle name="20% - Accent5 4 4 6" xfId="4638" xr:uid="{9AE4AA7F-FC28-4128-BCFC-519741C1A737}"/>
    <cellStyle name="20% - Accent5 4 4 7" xfId="8814" xr:uid="{78ECB7FF-16B4-441C-A67E-1201AF9D3BBC}"/>
    <cellStyle name="20% - Accent5 4 5" xfId="912" xr:uid="{8767F55F-FAB6-4574-BA10-9303136791D7}"/>
    <cellStyle name="20% - Accent5 4 5 2" xfId="5044" xr:uid="{0E682BF7-1E2F-45D8-9901-77B6FCC88BFD}"/>
    <cellStyle name="20% - Accent5 4 6" xfId="1740" xr:uid="{397828B1-DF0E-41D2-8B37-DCA822C36D4D}"/>
    <cellStyle name="20% - Accent5 4 6 2" xfId="5871" xr:uid="{1889C18E-A753-4BE1-B4D3-4EF53CD31506}"/>
    <cellStyle name="20% - Accent5 4 7" xfId="2564" xr:uid="{5FC46467-0D5C-4093-B847-9004453D5DC2}"/>
    <cellStyle name="20% - Accent5 4 7 2" xfId="6695" xr:uid="{F8B9647F-B7E4-4489-B574-E5FB32D464D0}"/>
    <cellStyle name="20% - Accent5 4 8" xfId="3388" xr:uid="{405782EA-8ED7-47FB-B8DE-E9D76ACAC5F7}"/>
    <cellStyle name="20% - Accent5 4 8 2" xfId="7547" xr:uid="{F0D32CC5-6DC5-4540-AA48-D0505264A2C8}"/>
    <cellStyle name="20% - Accent5 4 9" xfId="4218" xr:uid="{670B8095-7FDE-4AF8-8589-5548C60B165D}"/>
    <cellStyle name="20% - Accent5 5" xfId="99" xr:uid="{00000000-0005-0000-0000-000027010000}"/>
    <cellStyle name="20% - Accent5 5 10" xfId="8407" xr:uid="{F5EC7770-4610-4846-ADC1-9D4F4D7147C8}"/>
    <cellStyle name="20% - Accent5 5 2" xfId="204" xr:uid="{00000000-0005-0000-0000-000028010000}"/>
    <cellStyle name="20% - Accent5 5 2 2" xfId="413" xr:uid="{00000000-0005-0000-0000-000029010000}"/>
    <cellStyle name="20% - Accent5 5 2 2 2" xfId="830" xr:uid="{00000000-0005-0000-0000-00002A010000}"/>
    <cellStyle name="20% - Accent5 5 2 2 2 2" xfId="1656" xr:uid="{E29BC9FB-E79A-4DD1-A3EE-4FC7BD58A7CB}"/>
    <cellStyle name="20% - Accent5 5 2 2 2 2 2" xfId="5788" xr:uid="{9BCFECFC-F776-49BC-9178-CFA091B76174}"/>
    <cellStyle name="20% - Accent5 5 2 2 2 3" xfId="2484" xr:uid="{28791366-3E5D-498E-B93B-FCC595BCDB10}"/>
    <cellStyle name="20% - Accent5 5 2 2 2 3 2" xfId="6615" xr:uid="{900EAD14-1013-45C5-A920-90BB50227117}"/>
    <cellStyle name="20% - Accent5 5 2 2 2 4" xfId="3308" xr:uid="{6F11C520-01C6-4070-9358-E8BB2AC456D6}"/>
    <cellStyle name="20% - Accent5 5 2 2 2 4 2" xfId="7439" xr:uid="{33791CA7-0DE5-4D0B-B0FB-138D3DA12CED}"/>
    <cellStyle name="20% - Accent5 5 2 2 2 5" xfId="4132" xr:uid="{2EE10321-81C6-421D-849A-923F4BF185ED}"/>
    <cellStyle name="20% - Accent5 5 2 2 2 5 2" xfId="8291" xr:uid="{6FB9C7C5-A5BC-4D5B-A393-5F9C3CAF85A1}"/>
    <cellStyle name="20% - Accent5 5 2 2 2 6" xfId="4962" xr:uid="{60ABEF6C-04F8-4687-B803-756B29365C70}"/>
    <cellStyle name="20% - Accent5 5 2 2 2 7" xfId="9138" xr:uid="{F2C45F33-949A-446E-9C70-AF33B0342EDD}"/>
    <cellStyle name="20% - Accent5 5 2 2 3" xfId="1239" xr:uid="{0BC546A3-B355-4578-96A0-A3EF336EB939}"/>
    <cellStyle name="20% - Accent5 5 2 2 3 2" xfId="5371" xr:uid="{39E63C78-1697-49E4-89A2-6BB854B481D9}"/>
    <cellStyle name="20% - Accent5 5 2 2 4" xfId="2067" xr:uid="{C82B1C3B-3E54-4D6D-8F71-A44C9B863FA3}"/>
    <cellStyle name="20% - Accent5 5 2 2 4 2" xfId="6198" xr:uid="{45439A6B-4E7C-4DB9-BEAC-E3E9BFB6CCF3}"/>
    <cellStyle name="20% - Accent5 5 2 2 5" xfId="2891" xr:uid="{028A0785-FE26-4D05-BFE7-886756AA8172}"/>
    <cellStyle name="20% - Accent5 5 2 2 5 2" xfId="7022" xr:uid="{52C03931-050F-412A-BC0C-27D7F99DA2B2}"/>
    <cellStyle name="20% - Accent5 5 2 2 6" xfId="3715" xr:uid="{1F0F62B6-96C0-41E9-BEF5-DEC538D9ADD3}"/>
    <cellStyle name="20% - Accent5 5 2 2 6 2" xfId="7874" xr:uid="{7DE99B9E-0DA0-473B-81F5-33928ACA7D3F}"/>
    <cellStyle name="20% - Accent5 5 2 2 7" xfId="4545" xr:uid="{D2511D3D-B17C-44C7-99A2-E6567966C585}"/>
    <cellStyle name="20% - Accent5 5 2 2 8" xfId="8721" xr:uid="{D01803E9-BC7D-4142-810A-89D412E22A08}"/>
    <cellStyle name="20% - Accent5 5 2 3" xfId="622" xr:uid="{00000000-0005-0000-0000-00002B010000}"/>
    <cellStyle name="20% - Accent5 5 2 3 2" xfId="1448" xr:uid="{9568A455-E3BD-4119-97EF-175E5F30AED8}"/>
    <cellStyle name="20% - Accent5 5 2 3 2 2" xfId="5580" xr:uid="{CE59B15F-AF8D-4C47-991E-3E0014EF1987}"/>
    <cellStyle name="20% - Accent5 5 2 3 3" xfId="2276" xr:uid="{18579500-3B8B-484A-8C38-F6B9F90D3B80}"/>
    <cellStyle name="20% - Accent5 5 2 3 3 2" xfId="6407" xr:uid="{801FE4FE-DBA5-4DF2-B106-AD4BAF11CC20}"/>
    <cellStyle name="20% - Accent5 5 2 3 4" xfId="3100" xr:uid="{F05B4F75-5090-412F-9DB7-D6F380EB8852}"/>
    <cellStyle name="20% - Accent5 5 2 3 4 2" xfId="7231" xr:uid="{E6BC7D64-42D7-47B1-85CD-22E609035E5E}"/>
    <cellStyle name="20% - Accent5 5 2 3 5" xfId="3924" xr:uid="{7A2C077B-70B0-47DC-8FBA-4DEA52F1BA65}"/>
    <cellStyle name="20% - Accent5 5 2 3 5 2" xfId="8083" xr:uid="{58644E21-4686-4E20-BDB9-0EC93C8B0AA1}"/>
    <cellStyle name="20% - Accent5 5 2 3 6" xfId="4754" xr:uid="{B6CEBCC8-03D5-45C5-8721-71D0EF9E1B75}"/>
    <cellStyle name="20% - Accent5 5 2 3 7" xfId="8930" xr:uid="{B3B7DBAE-04FF-47AE-8BAB-7F120D9DD580}"/>
    <cellStyle name="20% - Accent5 5 2 4" xfId="1030" xr:uid="{B50DB915-1D54-45D1-83D9-60743E232F35}"/>
    <cellStyle name="20% - Accent5 5 2 4 2" xfId="5162" xr:uid="{366CEA3C-D1C9-498C-9ADB-A8097FB13B5A}"/>
    <cellStyle name="20% - Accent5 5 2 5" xfId="1858" xr:uid="{83F37AD3-B992-4B21-99C0-EC8881A94F5D}"/>
    <cellStyle name="20% - Accent5 5 2 5 2" xfId="5989" xr:uid="{54956CA6-A4DF-4A7A-A3BE-1F6FCCB31F75}"/>
    <cellStyle name="20% - Accent5 5 2 6" xfId="2682" xr:uid="{AF8C8D70-7791-470F-AAE8-001339C00278}"/>
    <cellStyle name="20% - Accent5 5 2 6 2" xfId="6813" xr:uid="{E55142D6-E8CB-464D-B525-D8C7F90442E3}"/>
    <cellStyle name="20% - Accent5 5 2 7" xfId="3506" xr:uid="{A43291C3-CEEE-42FB-AD28-34022A368ED5}"/>
    <cellStyle name="20% - Accent5 5 2 7 2" xfId="7665" xr:uid="{609E2D7B-FF14-4AC1-87BC-655E3AC1EFC0}"/>
    <cellStyle name="20% - Accent5 5 2 8" xfId="4336" xr:uid="{DF1AB227-E4A7-4B33-80C8-10641CF52159}"/>
    <cellStyle name="20% - Accent5 5 2 9" xfId="8512" xr:uid="{A2053011-623B-479F-A4A2-5AEC56A67327}"/>
    <cellStyle name="20% - Accent5 5 3" xfId="309" xr:uid="{00000000-0005-0000-0000-00002C010000}"/>
    <cellStyle name="20% - Accent5 5 3 2" xfId="726" xr:uid="{00000000-0005-0000-0000-00002D010000}"/>
    <cellStyle name="20% - Accent5 5 3 2 2" xfId="1552" xr:uid="{FE47A547-A2D0-4CCE-81D5-B0A2145FBEA6}"/>
    <cellStyle name="20% - Accent5 5 3 2 2 2" xfId="5684" xr:uid="{9E039D1A-D93F-43B3-B7BE-1320FCF93978}"/>
    <cellStyle name="20% - Accent5 5 3 2 3" xfId="2380" xr:uid="{0D6E55E2-6FE6-49C9-BE6E-91A5CCFBEE83}"/>
    <cellStyle name="20% - Accent5 5 3 2 3 2" xfId="6511" xr:uid="{29A2A7EA-1FB3-45EF-8C2F-CC7734252B6F}"/>
    <cellStyle name="20% - Accent5 5 3 2 4" xfId="3204" xr:uid="{EA11022C-BCC0-46DE-819A-98205D762CF7}"/>
    <cellStyle name="20% - Accent5 5 3 2 4 2" xfId="7335" xr:uid="{2886EFCF-9B8C-43B3-B3B3-AFF4C1FE513F}"/>
    <cellStyle name="20% - Accent5 5 3 2 5" xfId="4028" xr:uid="{D4A5015D-6A9F-475B-9F4C-B9B0D2DF3A1E}"/>
    <cellStyle name="20% - Accent5 5 3 2 5 2" xfId="8187" xr:uid="{7582DFFF-7B01-492F-B1FF-1558C4FD2ADD}"/>
    <cellStyle name="20% - Accent5 5 3 2 6" xfId="4858" xr:uid="{C3109D7F-9787-4683-93CD-D60CDF9E17F9}"/>
    <cellStyle name="20% - Accent5 5 3 2 7" xfId="9034" xr:uid="{26A163AC-2B84-4FE6-89AD-8C7E936E8AA2}"/>
    <cellStyle name="20% - Accent5 5 3 3" xfId="1135" xr:uid="{4B5282F9-D46E-44C5-B2E9-1CBD06264011}"/>
    <cellStyle name="20% - Accent5 5 3 3 2" xfId="5267" xr:uid="{FA3033D0-E223-4CCF-A6AD-88899E817EE1}"/>
    <cellStyle name="20% - Accent5 5 3 4" xfId="1963" xr:uid="{F5B3CC4F-8FC9-4E63-87F2-333B02D89184}"/>
    <cellStyle name="20% - Accent5 5 3 4 2" xfId="6094" xr:uid="{38B58640-4042-4314-A6C6-1822E6263E61}"/>
    <cellStyle name="20% - Accent5 5 3 5" xfId="2787" xr:uid="{514F3503-C700-407F-808E-D5B3B2311C87}"/>
    <cellStyle name="20% - Accent5 5 3 5 2" xfId="6918" xr:uid="{6C49965F-C166-4304-BFCF-A6DD07D3F150}"/>
    <cellStyle name="20% - Accent5 5 3 6" xfId="3611" xr:uid="{A7D4F507-C7A3-4E9A-9F71-0EA5E9BAC8BF}"/>
    <cellStyle name="20% - Accent5 5 3 6 2" xfId="7770" xr:uid="{1040228F-025D-4114-89B2-E83259284152}"/>
    <cellStyle name="20% - Accent5 5 3 7" xfId="4441" xr:uid="{795218F5-D72B-4DDD-9C9E-A4EA9BCF39B9}"/>
    <cellStyle name="20% - Accent5 5 3 8" xfId="8617" xr:uid="{9C582277-9AB4-47B1-B5A7-7FC7323B2EAF}"/>
    <cellStyle name="20% - Accent5 5 4" xfId="518" xr:uid="{00000000-0005-0000-0000-00002E010000}"/>
    <cellStyle name="20% - Accent5 5 4 2" xfId="1344" xr:uid="{1A59F3DF-E07A-4CCE-8B4D-A415C9E626CD}"/>
    <cellStyle name="20% - Accent5 5 4 2 2" xfId="5476" xr:uid="{BD0AF798-0689-4388-B3F7-ACD8E87521BE}"/>
    <cellStyle name="20% - Accent5 5 4 3" xfId="2172" xr:uid="{B7015A55-FE88-4737-A68D-78C3869FD0BE}"/>
    <cellStyle name="20% - Accent5 5 4 3 2" xfId="6303" xr:uid="{10536221-FA99-4C90-9556-85B1BB20D52E}"/>
    <cellStyle name="20% - Accent5 5 4 4" xfId="2996" xr:uid="{4629A3A1-3E26-4C73-A94E-A3ADF6DB30F6}"/>
    <cellStyle name="20% - Accent5 5 4 4 2" xfId="7127" xr:uid="{05290499-05FB-4570-B7EC-5D3A473F21ED}"/>
    <cellStyle name="20% - Accent5 5 4 5" xfId="3820" xr:uid="{E5BD1ACA-98A4-49A9-9F8B-9AD3832957E5}"/>
    <cellStyle name="20% - Accent5 5 4 5 2" xfId="7979" xr:uid="{0D6BE3AA-5688-4F25-8B95-2F870F319CC1}"/>
    <cellStyle name="20% - Accent5 5 4 6" xfId="4650" xr:uid="{705AB7F8-5CFF-4CFD-9476-011139619C4A}"/>
    <cellStyle name="20% - Accent5 5 4 7" xfId="8826" xr:uid="{552369B3-22A9-4D4D-9E46-041B440DE0B9}"/>
    <cellStyle name="20% - Accent5 5 5" xfId="925" xr:uid="{AE4F2E7A-CD17-4F39-94E0-8E0910C9929F}"/>
    <cellStyle name="20% - Accent5 5 5 2" xfId="5057" xr:uid="{425AB6D8-E553-412F-AB1F-D6170132AE04}"/>
    <cellStyle name="20% - Accent5 5 6" xfId="1753" xr:uid="{16264F2C-91F7-452A-863A-FBC6F51711BE}"/>
    <cellStyle name="20% - Accent5 5 6 2" xfId="5884" xr:uid="{E9B319BC-A5AB-4A08-98C0-FEE69CA77D61}"/>
    <cellStyle name="20% - Accent5 5 7" xfId="2577" xr:uid="{DD2B2309-A85A-4C14-A282-08E40A486A28}"/>
    <cellStyle name="20% - Accent5 5 7 2" xfId="6708" xr:uid="{243BFC74-1DF9-4E65-AE28-CB6FB9D2CAB0}"/>
    <cellStyle name="20% - Accent5 5 8" xfId="3401" xr:uid="{189BA834-F08C-40E2-95D7-0009F181AAB5}"/>
    <cellStyle name="20% - Accent5 5 8 2" xfId="7560" xr:uid="{4732F967-0061-4353-8037-8D2366D05BC9}"/>
    <cellStyle name="20% - Accent5 5 9" xfId="4231" xr:uid="{BFE412F0-1E63-4FF5-B3F4-6BB29994E379}"/>
    <cellStyle name="20% - Accent5 6" xfId="139" xr:uid="{00000000-0005-0000-0000-00002F010000}"/>
    <cellStyle name="20% - Accent5 6 2" xfId="349" xr:uid="{00000000-0005-0000-0000-000030010000}"/>
    <cellStyle name="20% - Accent5 6 2 2" xfId="766" xr:uid="{00000000-0005-0000-0000-000031010000}"/>
    <cellStyle name="20% - Accent5 6 2 2 2" xfId="1592" xr:uid="{06331A04-876D-41B9-B657-21DB1B5B34F0}"/>
    <cellStyle name="20% - Accent5 6 2 2 2 2" xfId="5724" xr:uid="{78F98489-49A5-4C66-881A-F4DB30C69C8B}"/>
    <cellStyle name="20% - Accent5 6 2 2 3" xfId="2420" xr:uid="{10693443-B4D5-439B-9E8B-53389529A2D8}"/>
    <cellStyle name="20% - Accent5 6 2 2 3 2" xfId="6551" xr:uid="{95049584-CF6E-4082-A4E2-CCEFC543BD38}"/>
    <cellStyle name="20% - Accent5 6 2 2 4" xfId="3244" xr:uid="{A1D53E75-AEE4-4D5F-8BE6-081B0F36CCEC}"/>
    <cellStyle name="20% - Accent5 6 2 2 4 2" xfId="7375" xr:uid="{B7BF926D-F0B9-4558-879D-85E9C0A174A5}"/>
    <cellStyle name="20% - Accent5 6 2 2 5" xfId="4068" xr:uid="{C2A12399-925C-41CF-B760-9C346E888C6A}"/>
    <cellStyle name="20% - Accent5 6 2 2 5 2" xfId="8227" xr:uid="{B0DE9295-44D9-4CB8-9844-2241AE4D532A}"/>
    <cellStyle name="20% - Accent5 6 2 2 6" xfId="4898" xr:uid="{19DBD5DB-B736-43E2-8895-AF1705B7174B}"/>
    <cellStyle name="20% - Accent5 6 2 2 7" xfId="9074" xr:uid="{A49CD6A6-C6DB-441E-9785-A564B8F9D33F}"/>
    <cellStyle name="20% - Accent5 6 2 3" xfId="1175" xr:uid="{3030B019-AA64-4742-A634-76E4EFD78C2A}"/>
    <cellStyle name="20% - Accent5 6 2 3 2" xfId="5307" xr:uid="{38C2B99F-8F71-4444-BE28-482E8B92962D}"/>
    <cellStyle name="20% - Accent5 6 2 4" xfId="2003" xr:uid="{FDD515AB-F618-4C23-B39C-2F9C526E2742}"/>
    <cellStyle name="20% - Accent5 6 2 4 2" xfId="6134" xr:uid="{03106997-8178-43D2-B40E-8006981EA39A}"/>
    <cellStyle name="20% - Accent5 6 2 5" xfId="2827" xr:uid="{9AA0EE94-3991-4D3F-9818-E9DF08EEE1FA}"/>
    <cellStyle name="20% - Accent5 6 2 5 2" xfId="6958" xr:uid="{3566EFCE-380D-4231-A19C-00679BBBCA9E}"/>
    <cellStyle name="20% - Accent5 6 2 6" xfId="3651" xr:uid="{F946562E-57A9-49E8-859E-6E6EE2E5807A}"/>
    <cellStyle name="20% - Accent5 6 2 6 2" xfId="7810" xr:uid="{000CE96C-DE46-42AF-ACC7-BA02BB62FC90}"/>
    <cellStyle name="20% - Accent5 6 2 7" xfId="4481" xr:uid="{1E46B49E-3B82-4D66-AC7F-E9C808B7F8B3}"/>
    <cellStyle name="20% - Accent5 6 2 8" xfId="8657" xr:uid="{A7688D77-52B0-4D9E-B1B0-6E5892BFC297}"/>
    <cellStyle name="20% - Accent5 6 3" xfId="558" xr:uid="{00000000-0005-0000-0000-000032010000}"/>
    <cellStyle name="20% - Accent5 6 3 2" xfId="1384" xr:uid="{47E38B4B-426B-4F12-B9D1-F86DDE4A47FD}"/>
    <cellStyle name="20% - Accent5 6 3 2 2" xfId="5516" xr:uid="{FC8F8706-0291-4E78-B395-608D72FE8F8D}"/>
    <cellStyle name="20% - Accent5 6 3 3" xfId="2212" xr:uid="{6EF96BAD-2772-4ACD-9005-E5BC14F904F8}"/>
    <cellStyle name="20% - Accent5 6 3 3 2" xfId="6343" xr:uid="{3C49672F-7E66-4A67-ACAA-CB289703109D}"/>
    <cellStyle name="20% - Accent5 6 3 4" xfId="3036" xr:uid="{70B2B267-49F3-49AD-898F-1966B092B4FF}"/>
    <cellStyle name="20% - Accent5 6 3 4 2" xfId="7167" xr:uid="{3ADC630D-4064-4AC0-8998-04D079909795}"/>
    <cellStyle name="20% - Accent5 6 3 5" xfId="3860" xr:uid="{C747F32C-0F2B-4464-BF78-B0F712C82293}"/>
    <cellStyle name="20% - Accent5 6 3 5 2" xfId="8019" xr:uid="{5D47E6C4-F946-45B6-93CF-8CF1BA6CD00B}"/>
    <cellStyle name="20% - Accent5 6 3 6" xfId="4690" xr:uid="{4D37F861-7A20-4339-9C16-79A627A42A02}"/>
    <cellStyle name="20% - Accent5 6 3 7" xfId="8866" xr:uid="{CA032356-8F75-4226-82CF-44C19B91EC55}"/>
    <cellStyle name="20% - Accent5 6 4" xfId="965" xr:uid="{32E522F7-84A8-45C0-87CD-8A2D1BC29FB2}"/>
    <cellStyle name="20% - Accent5 6 4 2" xfId="5097" xr:uid="{A4D52240-C587-43AB-90EA-CFF638954BA1}"/>
    <cellStyle name="20% - Accent5 6 5" xfId="1793" xr:uid="{A9B90849-D990-455C-A9BB-E2D147F7988E}"/>
    <cellStyle name="20% - Accent5 6 5 2" xfId="5924" xr:uid="{559E1EEC-BA2F-4351-8D1A-86D8C426F410}"/>
    <cellStyle name="20% - Accent5 6 6" xfId="2617" xr:uid="{9226BCC8-713A-4F1F-A295-B84D62D16D45}"/>
    <cellStyle name="20% - Accent5 6 6 2" xfId="6748" xr:uid="{3D12D29F-5954-43DB-8644-E5767B39F8D5}"/>
    <cellStyle name="20% - Accent5 6 7" xfId="3441" xr:uid="{95F4F71F-D263-43A1-B109-32651BBDF24D}"/>
    <cellStyle name="20% - Accent5 6 7 2" xfId="7600" xr:uid="{E5D41B16-1A43-4D8F-8A3E-9B57522FA9FE}"/>
    <cellStyle name="20% - Accent5 6 8" xfId="4271" xr:uid="{9E3F6CFB-0F5C-4971-97F4-C21F7898B629}"/>
    <cellStyle name="20% - Accent5 6 9" xfId="8447" xr:uid="{AFF1DAF9-1B1C-49DB-BF55-CE3EFB4504BB}"/>
    <cellStyle name="20% - Accent5 7" xfId="152" xr:uid="{00000000-0005-0000-0000-000033010000}"/>
    <cellStyle name="20% - Accent5 7 2" xfId="361" xr:uid="{00000000-0005-0000-0000-000034010000}"/>
    <cellStyle name="20% - Accent5 7 2 2" xfId="778" xr:uid="{00000000-0005-0000-0000-000035010000}"/>
    <cellStyle name="20% - Accent5 7 2 2 2" xfId="1604" xr:uid="{3FA8B491-BE38-4866-A68F-C5DFC5576531}"/>
    <cellStyle name="20% - Accent5 7 2 2 2 2" xfId="5736" xr:uid="{2CD830C0-42B4-48E6-94DC-40418EF65D26}"/>
    <cellStyle name="20% - Accent5 7 2 2 3" xfId="2432" xr:uid="{EEF7ED44-116F-4716-9ABB-AA70AE8415AE}"/>
    <cellStyle name="20% - Accent5 7 2 2 3 2" xfId="6563" xr:uid="{FE2993DC-F587-402B-8BE2-FA5FE61400FC}"/>
    <cellStyle name="20% - Accent5 7 2 2 4" xfId="3256" xr:uid="{AABE3DCF-FF3B-4205-9F09-062ADFA502DA}"/>
    <cellStyle name="20% - Accent5 7 2 2 4 2" xfId="7387" xr:uid="{A1ADBED2-5C1E-47D1-8B4D-C19A7E72377B}"/>
    <cellStyle name="20% - Accent5 7 2 2 5" xfId="4080" xr:uid="{77171953-FA8D-4918-B43E-120FAAD53DC9}"/>
    <cellStyle name="20% - Accent5 7 2 2 5 2" xfId="8239" xr:uid="{01D5D04E-26C9-4D36-A913-676C854F467F}"/>
    <cellStyle name="20% - Accent5 7 2 2 6" xfId="4910" xr:uid="{FA60732C-755A-4D18-8133-13F53E6F1421}"/>
    <cellStyle name="20% - Accent5 7 2 2 7" xfId="9086" xr:uid="{3B4EA1AA-EF88-4BD3-9C69-20636BC2A44B}"/>
    <cellStyle name="20% - Accent5 7 2 3" xfId="1187" xr:uid="{15EB3705-B7F1-4A6E-8E80-506161289499}"/>
    <cellStyle name="20% - Accent5 7 2 3 2" xfId="5319" xr:uid="{CC6549C3-0211-4B72-9E06-152835C2C912}"/>
    <cellStyle name="20% - Accent5 7 2 4" xfId="2015" xr:uid="{3554D439-49A6-41A7-B19B-3936BBAFBE93}"/>
    <cellStyle name="20% - Accent5 7 2 4 2" xfId="6146" xr:uid="{C5B13815-C9EA-429B-AA3B-29B9EEFF9526}"/>
    <cellStyle name="20% - Accent5 7 2 5" xfId="2839" xr:uid="{FB61BC62-A2AB-403C-AD5D-9AD03762C8B2}"/>
    <cellStyle name="20% - Accent5 7 2 5 2" xfId="6970" xr:uid="{2F7813B6-0D29-4BD2-B583-A72A73598C52}"/>
    <cellStyle name="20% - Accent5 7 2 6" xfId="3663" xr:uid="{5FE61560-760B-42C6-8A5E-CB378C08BC6B}"/>
    <cellStyle name="20% - Accent5 7 2 6 2" xfId="7822" xr:uid="{320CA849-B8D7-495A-A512-80CDA166B38B}"/>
    <cellStyle name="20% - Accent5 7 2 7" xfId="4493" xr:uid="{F2737812-0FBB-4CF5-894F-CA5D8CB8E119}"/>
    <cellStyle name="20% - Accent5 7 2 8" xfId="8669" xr:uid="{839C20DF-4C94-48F8-850F-1C7B286BAE10}"/>
    <cellStyle name="20% - Accent5 7 3" xfId="570" xr:uid="{00000000-0005-0000-0000-000036010000}"/>
    <cellStyle name="20% - Accent5 7 3 2" xfId="1396" xr:uid="{CEA0B9F8-9611-403C-91A4-FC5365618415}"/>
    <cellStyle name="20% - Accent5 7 3 2 2" xfId="5528" xr:uid="{D813A5AF-A6B2-42D7-8C9F-9AE4D419E9B1}"/>
    <cellStyle name="20% - Accent5 7 3 3" xfId="2224" xr:uid="{CA5B5F02-27D0-4CFB-88D1-4034E5466D27}"/>
    <cellStyle name="20% - Accent5 7 3 3 2" xfId="6355" xr:uid="{0D5663A0-2204-4849-86FD-C06F39B60539}"/>
    <cellStyle name="20% - Accent5 7 3 4" xfId="3048" xr:uid="{9277403D-CD7E-47A5-9FE3-E0311066703A}"/>
    <cellStyle name="20% - Accent5 7 3 4 2" xfId="7179" xr:uid="{09D5E19F-F0F6-4440-9CFA-76AE0AE72298}"/>
    <cellStyle name="20% - Accent5 7 3 5" xfId="3872" xr:uid="{D619E534-CEDD-411D-BCF1-6B4018FB041F}"/>
    <cellStyle name="20% - Accent5 7 3 5 2" xfId="8031" xr:uid="{481D8C21-3A92-43E4-84D5-87A0C74FF796}"/>
    <cellStyle name="20% - Accent5 7 3 6" xfId="4702" xr:uid="{613EAE1C-DAB2-482E-8118-F051BD50B567}"/>
    <cellStyle name="20% - Accent5 7 3 7" xfId="8878" xr:uid="{7C6C13AA-D40A-4EC1-915C-D0A69721C273}"/>
    <cellStyle name="20% - Accent5 7 4" xfId="978" xr:uid="{2F550B99-FB5C-4850-A086-565F59027783}"/>
    <cellStyle name="20% - Accent5 7 4 2" xfId="5110" xr:uid="{C698D02A-698B-4255-B7D8-8C33CEC4BC11}"/>
    <cellStyle name="20% - Accent5 7 5" xfId="1806" xr:uid="{B2D3D588-436A-4D49-8151-AA1B4CC0C1AD}"/>
    <cellStyle name="20% - Accent5 7 5 2" xfId="5937" xr:uid="{3B3A3972-9591-411D-B640-702907199E76}"/>
    <cellStyle name="20% - Accent5 7 6" xfId="2630" xr:uid="{6AA1689A-634D-41F3-949D-591621FEE9B7}"/>
    <cellStyle name="20% - Accent5 7 6 2" xfId="6761" xr:uid="{DD036AF5-591D-40EA-A827-DE48E8553D03}"/>
    <cellStyle name="20% - Accent5 7 7" xfId="3454" xr:uid="{983AE106-DBAE-4E1D-8CE0-C34E46DE3905}"/>
    <cellStyle name="20% - Accent5 7 7 2" xfId="7613" xr:uid="{A108C21C-9FEF-45DA-9AB3-018E260415AF}"/>
    <cellStyle name="20% - Accent5 7 8" xfId="4284" xr:uid="{DF0E681D-9197-44BD-90A9-EBA3BE52622E}"/>
    <cellStyle name="20% - Accent5 7 9" xfId="8460" xr:uid="{F2D42FDC-D07C-4951-9FAB-EFCF7F2A9393}"/>
    <cellStyle name="20% - Accent5 8" xfId="244" xr:uid="{00000000-0005-0000-0000-000037010000}"/>
    <cellStyle name="20% - Accent5 8 2" xfId="662" xr:uid="{00000000-0005-0000-0000-000038010000}"/>
    <cellStyle name="20% - Accent5 8 2 2" xfId="1488" xr:uid="{9BF37705-1A3A-4ACD-9EDA-32A0312F38E7}"/>
    <cellStyle name="20% - Accent5 8 2 2 2" xfId="5620" xr:uid="{55A4A9AC-A934-42D1-BC93-90A6C1A0F025}"/>
    <cellStyle name="20% - Accent5 8 2 3" xfId="2316" xr:uid="{B9B8A099-67B7-4B15-B13D-95373A89983C}"/>
    <cellStyle name="20% - Accent5 8 2 3 2" xfId="6447" xr:uid="{B90FAEF5-8A35-425A-A1C2-A5F448F436FE}"/>
    <cellStyle name="20% - Accent5 8 2 4" xfId="3140" xr:uid="{CCA50F39-148D-4BD3-9CD5-78A649DAC5D8}"/>
    <cellStyle name="20% - Accent5 8 2 4 2" xfId="7271" xr:uid="{2D5A8D47-C054-49E5-B7E4-96FFC37D034B}"/>
    <cellStyle name="20% - Accent5 8 2 5" xfId="3964" xr:uid="{487D4E2D-BF2C-4153-BF91-100EBD1FF5F1}"/>
    <cellStyle name="20% - Accent5 8 2 5 2" xfId="8123" xr:uid="{206E2632-5DF4-4448-93E6-372FDA8CD6BD}"/>
    <cellStyle name="20% - Accent5 8 2 6" xfId="4794" xr:uid="{011A3368-D2DA-4C91-8214-7D51720A665C}"/>
    <cellStyle name="20% - Accent5 8 2 7" xfId="8970" xr:uid="{10E204DA-14A7-4749-9F1D-D616706DACD7}"/>
    <cellStyle name="20% - Accent5 8 3" xfId="1070" xr:uid="{EA4AA32E-4120-4BAF-B287-17E8C59DE3B1}"/>
    <cellStyle name="20% - Accent5 8 3 2" xfId="5202" xr:uid="{797A9D6E-F66E-4339-93D2-A564280E5431}"/>
    <cellStyle name="20% - Accent5 8 4" xfId="1898" xr:uid="{08E8B6CA-372E-40D1-9D1A-DE65A3F8F077}"/>
    <cellStyle name="20% - Accent5 8 4 2" xfId="6029" xr:uid="{46751153-5E54-41B3-B44A-B636E736F7A5}"/>
    <cellStyle name="20% - Accent5 8 5" xfId="2722" xr:uid="{6496CA29-5B30-42A4-9DF4-B6465BE7FCCB}"/>
    <cellStyle name="20% - Accent5 8 5 2" xfId="6853" xr:uid="{59F6D7D1-0738-467B-BA02-03C96BAB87F2}"/>
    <cellStyle name="20% - Accent5 8 6" xfId="3546" xr:uid="{3543BA08-F97E-481F-9427-FE2B0266EC3E}"/>
    <cellStyle name="20% - Accent5 8 6 2" xfId="7705" xr:uid="{18C7A1DD-9710-4877-B4C4-948EF5942FA8}"/>
    <cellStyle name="20% - Accent5 8 7" xfId="4376" xr:uid="{98037F81-B764-4033-ACA2-1113B922940B}"/>
    <cellStyle name="20% - Accent5 8 8" xfId="8552" xr:uid="{E7030970-D466-4CF0-9303-21F596E83C78}"/>
    <cellStyle name="20% - Accent5 9" xfId="257" xr:uid="{00000000-0005-0000-0000-000039010000}"/>
    <cellStyle name="20% - Accent5 9 2" xfId="674" xr:uid="{00000000-0005-0000-0000-00003A010000}"/>
    <cellStyle name="20% - Accent5 9 2 2" xfId="1500" xr:uid="{4505ECAF-D40C-463A-B6D4-8D66779D2CD9}"/>
    <cellStyle name="20% - Accent5 9 2 2 2" xfId="5632" xr:uid="{71DA2D91-592A-42E4-A11A-0621A727C11E}"/>
    <cellStyle name="20% - Accent5 9 2 3" xfId="2328" xr:uid="{67855C56-D859-4ABF-B4C1-7AD43F21E87F}"/>
    <cellStyle name="20% - Accent5 9 2 3 2" xfId="6459" xr:uid="{570425AF-B502-4723-81D7-549798B1FF14}"/>
    <cellStyle name="20% - Accent5 9 2 4" xfId="3152" xr:uid="{52A2D562-47AC-4E1B-A56F-97A074DAC113}"/>
    <cellStyle name="20% - Accent5 9 2 4 2" xfId="7283" xr:uid="{2FCDD38A-C943-4BF5-8B78-55FF0A121964}"/>
    <cellStyle name="20% - Accent5 9 2 5" xfId="3976" xr:uid="{EEA43002-87CF-49CA-8B98-D7C25C81B99D}"/>
    <cellStyle name="20% - Accent5 9 2 5 2" xfId="8135" xr:uid="{AA1F7AAC-562F-4BD6-BF6F-DE191517E341}"/>
    <cellStyle name="20% - Accent5 9 2 6" xfId="4806" xr:uid="{E669A6F4-AED9-4EF8-8EB6-BCA0DAD64B98}"/>
    <cellStyle name="20% - Accent5 9 2 7" xfId="8982" xr:uid="{DC365BAA-40AC-4B9E-B738-D1FFA0894DF0}"/>
    <cellStyle name="20% - Accent5 9 3" xfId="1083" xr:uid="{6B7DDAC7-5DEE-4A37-BD72-024AA51D1594}"/>
    <cellStyle name="20% - Accent5 9 3 2" xfId="5215" xr:uid="{8B7F9F45-0B45-49CF-A10E-98B792D5B552}"/>
    <cellStyle name="20% - Accent5 9 4" xfId="1911" xr:uid="{B2ED98DE-98D0-4319-BFF2-7055F81672F3}"/>
    <cellStyle name="20% - Accent5 9 4 2" xfId="6042" xr:uid="{82CAD66A-B6AC-46CD-A96C-6C1BB59BA124}"/>
    <cellStyle name="20% - Accent5 9 5" xfId="2735" xr:uid="{36842521-FC06-4D3D-BA3E-6B6425FEEF08}"/>
    <cellStyle name="20% - Accent5 9 5 2" xfId="6866" xr:uid="{A59D4D77-831B-4702-B597-5F6D625230B3}"/>
    <cellStyle name="20% - Accent5 9 6" xfId="3559" xr:uid="{2DA685A5-2A52-4212-A522-B01A2C463819}"/>
    <cellStyle name="20% - Accent5 9 6 2" xfId="7718" xr:uid="{5EA5E72B-46C8-4956-9B16-CFDC00BE5610}"/>
    <cellStyle name="20% - Accent5 9 7" xfId="4389" xr:uid="{0FEEF456-E5AB-43D4-B319-6D337F8131EC}"/>
    <cellStyle name="20% - Accent5 9 8" xfId="8565" xr:uid="{626CE209-8602-4013-B34D-A2D7BEF610F7}"/>
    <cellStyle name="20% - Accent6" xfId="38" builtinId="50" customBuiltin="1"/>
    <cellStyle name="20% - Accent6 10" xfId="455" xr:uid="{00000000-0005-0000-0000-00003C010000}"/>
    <cellStyle name="20% - Accent6 10 2" xfId="1281" xr:uid="{A4737DFD-265B-4CF8-ABA3-2CB8655A4978}"/>
    <cellStyle name="20% - Accent6 10 2 2" xfId="5413" xr:uid="{C5D19993-FE3F-4D5F-A8B3-5700F19871F8}"/>
    <cellStyle name="20% - Accent6 10 3" xfId="2109" xr:uid="{A8638245-939D-408F-8F67-8FF0E833F6C9}"/>
    <cellStyle name="20% - Accent6 10 3 2" xfId="6240" xr:uid="{97887B2C-037C-4708-9F87-5157230956CA}"/>
    <cellStyle name="20% - Accent6 10 4" xfId="2933" xr:uid="{A5163210-E81A-45CC-9FAE-DC311C0A13A6}"/>
    <cellStyle name="20% - Accent6 10 4 2" xfId="7064" xr:uid="{6AFFA195-8603-4D1B-B37E-3E2EED3BF21B}"/>
    <cellStyle name="20% - Accent6 10 5" xfId="3757" xr:uid="{CC7C40CC-D21F-4537-A504-83125DA1CA69}"/>
    <cellStyle name="20% - Accent6 10 5 2" xfId="7916" xr:uid="{34F09D09-4407-41CE-8592-88AE70C5B7EA}"/>
    <cellStyle name="20% - Accent6 10 6" xfId="4587" xr:uid="{30DF897B-A10F-4B79-90DF-22E197096049}"/>
    <cellStyle name="20% - Accent6 10 7" xfId="8763" xr:uid="{14DF1673-15E0-45BA-BE52-EAD79E0FBB4D}"/>
    <cellStyle name="20% - Accent6 11" xfId="468" xr:uid="{00000000-0005-0000-0000-00003D010000}"/>
    <cellStyle name="20% - Accent6 11 2" xfId="1294" xr:uid="{E0C8463C-3CEB-4304-A0BC-083B7B6ADB46}"/>
    <cellStyle name="20% - Accent6 11 2 2" xfId="5426" xr:uid="{B751C7FC-4913-4B74-A531-573064197301}"/>
    <cellStyle name="20% - Accent6 11 3" xfId="2122" xr:uid="{06D914BE-CD49-435D-9D67-939A2140F6FB}"/>
    <cellStyle name="20% - Accent6 11 3 2" xfId="6253" xr:uid="{73F78D4E-2FDF-4F9D-B68E-4BCC4CF94112}"/>
    <cellStyle name="20% - Accent6 11 4" xfId="2946" xr:uid="{9D9780A7-C6FE-45DF-AF16-B266B3409772}"/>
    <cellStyle name="20% - Accent6 11 4 2" xfId="7077" xr:uid="{AD1EF2D8-96D0-449F-BF2E-9EEE7CAABA73}"/>
    <cellStyle name="20% - Accent6 11 5" xfId="3770" xr:uid="{75AF62F6-2A6E-4940-921F-304877EAFAC6}"/>
    <cellStyle name="20% - Accent6 11 5 2" xfId="7929" xr:uid="{0BB3A31F-C18F-42FC-8A4F-2F37BE572D41}"/>
    <cellStyle name="20% - Accent6 11 6" xfId="4600" xr:uid="{DC31B3CF-DDD6-4796-8CE3-25D91CD0A46D}"/>
    <cellStyle name="20% - Accent6 11 7" xfId="8776" xr:uid="{70BD56E8-4CFD-40D0-8489-A83D4EEE89CA}"/>
    <cellStyle name="20% - Accent6 12" xfId="873" xr:uid="{0254539A-E0DB-44BD-B163-B935EF4A68B5}"/>
    <cellStyle name="20% - Accent6 12 2" xfId="5005" xr:uid="{244CD06A-A81F-4781-9B8F-2ED79820AA72}"/>
    <cellStyle name="20% - Accent6 13" xfId="1702" xr:uid="{C5D71F73-8DC7-4E6F-B28D-71D349B9AC5A}"/>
    <cellStyle name="20% - Accent6 13 2" xfId="5833" xr:uid="{EED7747D-B2EF-4CB4-BB92-D1BC1BEE4D68}"/>
    <cellStyle name="20% - Accent6 14" xfId="2526" xr:uid="{7FE463B5-8078-4449-B8ED-D594566683C2}"/>
    <cellStyle name="20% - Accent6 14 2" xfId="6657" xr:uid="{16836E8B-C0E3-467A-B8C2-165541981281}"/>
    <cellStyle name="20% - Accent6 15" xfId="3350" xr:uid="{4364DC1B-8369-4F9F-831F-0C47A0EEB917}"/>
    <cellStyle name="20% - Accent6 15 2" xfId="7509" xr:uid="{A0A7A5A7-869C-4492-A3BA-FCFA491FD66A}"/>
    <cellStyle name="20% - Accent6 16" xfId="4179" xr:uid="{12999FF5-F5EB-4426-813E-F31C9771685F}"/>
    <cellStyle name="20% - Accent6 17" xfId="8356" xr:uid="{61E9BD4C-C2AB-4B8C-B361-0AD1A1633591}"/>
    <cellStyle name="20% - Accent6 2" xfId="62" xr:uid="{00000000-0005-0000-0000-00003E010000}"/>
    <cellStyle name="20% - Accent6 2 10" xfId="4194" xr:uid="{FE6008BD-EEFD-4117-91C7-6B701002E4BE}"/>
    <cellStyle name="20% - Accent6 2 11" xfId="8370" xr:uid="{3999F83E-60EF-48E7-B1A0-245165127420}"/>
    <cellStyle name="20% - Accent6 2 2" xfId="115" xr:uid="{00000000-0005-0000-0000-00003F010000}"/>
    <cellStyle name="20% - Accent6 2 2 10" xfId="8423" xr:uid="{6260A0BF-8A25-4338-A566-C6BAB532A293}"/>
    <cellStyle name="20% - Accent6 2 2 2" xfId="220" xr:uid="{00000000-0005-0000-0000-000040010000}"/>
    <cellStyle name="20% - Accent6 2 2 2 2" xfId="429" xr:uid="{00000000-0005-0000-0000-000041010000}"/>
    <cellStyle name="20% - Accent6 2 2 2 2 2" xfId="846" xr:uid="{00000000-0005-0000-0000-000042010000}"/>
    <cellStyle name="20% - Accent6 2 2 2 2 2 2" xfId="1672" xr:uid="{2865E865-FB34-40D2-9953-6BB027156BF2}"/>
    <cellStyle name="20% - Accent6 2 2 2 2 2 2 2" xfId="5804" xr:uid="{FF89FD02-3914-4991-8FDC-E7C0AB061DB6}"/>
    <cellStyle name="20% - Accent6 2 2 2 2 2 3" xfId="2500" xr:uid="{333E2E49-ACB2-4289-BABD-49DE2471DDEA}"/>
    <cellStyle name="20% - Accent6 2 2 2 2 2 3 2" xfId="6631" xr:uid="{4AF683E7-EEFF-4F36-A3A3-F6F94B6AB3B8}"/>
    <cellStyle name="20% - Accent6 2 2 2 2 2 4" xfId="3324" xr:uid="{48980106-C956-4503-8121-31BBDD07470E}"/>
    <cellStyle name="20% - Accent6 2 2 2 2 2 4 2" xfId="7455" xr:uid="{91EB7B51-6F59-49DF-988B-A07CF0CDFA48}"/>
    <cellStyle name="20% - Accent6 2 2 2 2 2 5" xfId="4148" xr:uid="{2C15E8CA-4F86-49EE-88E6-A43009196798}"/>
    <cellStyle name="20% - Accent6 2 2 2 2 2 5 2" xfId="8307" xr:uid="{A47F9F46-F3E0-4288-A915-F29A2DC53601}"/>
    <cellStyle name="20% - Accent6 2 2 2 2 2 6" xfId="4978" xr:uid="{F922C884-B17A-4997-AD1D-DB743CD5DBFD}"/>
    <cellStyle name="20% - Accent6 2 2 2 2 2 7" xfId="9154" xr:uid="{A8630FFC-1471-4F1F-B2C8-15044BFC887B}"/>
    <cellStyle name="20% - Accent6 2 2 2 2 3" xfId="1255" xr:uid="{4C23D709-B898-47A5-8517-F99C8B2454B1}"/>
    <cellStyle name="20% - Accent6 2 2 2 2 3 2" xfId="5387" xr:uid="{953484CA-4C01-44AD-B48F-42D71DA224DB}"/>
    <cellStyle name="20% - Accent6 2 2 2 2 4" xfId="2083" xr:uid="{22474ADC-5A88-4681-96BF-427A22CC02DA}"/>
    <cellStyle name="20% - Accent6 2 2 2 2 4 2" xfId="6214" xr:uid="{B49B241E-865E-4136-96AA-BE5A230E930C}"/>
    <cellStyle name="20% - Accent6 2 2 2 2 5" xfId="2907" xr:uid="{D7D44AE5-F55F-45E1-84A4-FE96E0821597}"/>
    <cellStyle name="20% - Accent6 2 2 2 2 5 2" xfId="7038" xr:uid="{E17DE367-BDFB-41A8-B8AB-C684A383B0ED}"/>
    <cellStyle name="20% - Accent6 2 2 2 2 6" xfId="3731" xr:uid="{4DB5FCA9-41C1-4F5C-8A8D-C17B9CF6365C}"/>
    <cellStyle name="20% - Accent6 2 2 2 2 6 2" xfId="7890" xr:uid="{0BC53E8C-4656-41B3-91A9-5A124426FBAF}"/>
    <cellStyle name="20% - Accent6 2 2 2 2 7" xfId="4561" xr:uid="{B0E81269-126B-4056-A72E-B86985F6FE4D}"/>
    <cellStyle name="20% - Accent6 2 2 2 2 8" xfId="8737" xr:uid="{1871E8E5-AA74-47B0-AD8A-521B1A037B53}"/>
    <cellStyle name="20% - Accent6 2 2 2 3" xfId="638" xr:uid="{00000000-0005-0000-0000-000043010000}"/>
    <cellStyle name="20% - Accent6 2 2 2 3 2" xfId="1464" xr:uid="{26ED38E2-B73D-4623-8117-2B0662B14863}"/>
    <cellStyle name="20% - Accent6 2 2 2 3 2 2" xfId="5596" xr:uid="{E1190CDF-9147-4C5A-B90A-DE4A41C0076E}"/>
    <cellStyle name="20% - Accent6 2 2 2 3 3" xfId="2292" xr:uid="{34343FFE-3F3D-476B-A316-86D85BE4F49A}"/>
    <cellStyle name="20% - Accent6 2 2 2 3 3 2" xfId="6423" xr:uid="{770DF805-2EFF-4B3E-9762-24D79D358E54}"/>
    <cellStyle name="20% - Accent6 2 2 2 3 4" xfId="3116" xr:uid="{42850A02-F374-4B26-8A45-09DC0F9DDFAE}"/>
    <cellStyle name="20% - Accent6 2 2 2 3 4 2" xfId="7247" xr:uid="{645BFE41-4333-45AB-9978-577A3369153D}"/>
    <cellStyle name="20% - Accent6 2 2 2 3 5" xfId="3940" xr:uid="{26EAE54C-49AB-4413-B5C7-C17A59B57F76}"/>
    <cellStyle name="20% - Accent6 2 2 2 3 5 2" xfId="8099" xr:uid="{7F6AE5AF-2C92-4B99-AB19-0D67AC935D08}"/>
    <cellStyle name="20% - Accent6 2 2 2 3 6" xfId="4770" xr:uid="{3A675BA5-D4B9-4108-B2A7-6E08BCD9FF36}"/>
    <cellStyle name="20% - Accent6 2 2 2 3 7" xfId="8946" xr:uid="{B388CBE6-B566-4A45-AA28-9CAB817F8CE4}"/>
    <cellStyle name="20% - Accent6 2 2 2 4" xfId="1046" xr:uid="{4211EC21-524F-4A3D-AB11-53E701751A37}"/>
    <cellStyle name="20% - Accent6 2 2 2 4 2" xfId="5178" xr:uid="{F02971A4-2D69-4E8B-A3C6-A614526CE6C8}"/>
    <cellStyle name="20% - Accent6 2 2 2 5" xfId="1874" xr:uid="{107141F7-D03F-4D2F-87BF-0933B4235707}"/>
    <cellStyle name="20% - Accent6 2 2 2 5 2" xfId="6005" xr:uid="{868E0473-8683-4B64-A0A6-A0E4E95023A7}"/>
    <cellStyle name="20% - Accent6 2 2 2 6" xfId="2698" xr:uid="{A5994450-A700-41C0-B935-835A138BB039}"/>
    <cellStyle name="20% - Accent6 2 2 2 6 2" xfId="6829" xr:uid="{5BA6E50F-21DF-42B9-A4CD-B8168681AD0B}"/>
    <cellStyle name="20% - Accent6 2 2 2 7" xfId="3522" xr:uid="{EEBB96EE-D5AB-42B8-AE58-8135ED7702B9}"/>
    <cellStyle name="20% - Accent6 2 2 2 7 2" xfId="7681" xr:uid="{4FBDAC94-B9F7-4916-B09D-31A4AF66BF06}"/>
    <cellStyle name="20% - Accent6 2 2 2 8" xfId="4352" xr:uid="{1A6FA6F5-32B4-4E7D-89E2-8F3CF840CBFA}"/>
    <cellStyle name="20% - Accent6 2 2 2 9" xfId="8528" xr:uid="{CA96BA0C-96DA-4BC5-A81A-5AA74EB2C830}"/>
    <cellStyle name="20% - Accent6 2 2 3" xfId="325" xr:uid="{00000000-0005-0000-0000-000044010000}"/>
    <cellStyle name="20% - Accent6 2 2 3 2" xfId="742" xr:uid="{00000000-0005-0000-0000-000045010000}"/>
    <cellStyle name="20% - Accent6 2 2 3 2 2" xfId="1568" xr:uid="{5396F4BC-F1CA-48F5-A8DE-DBD70E213838}"/>
    <cellStyle name="20% - Accent6 2 2 3 2 2 2" xfId="5700" xr:uid="{BE1B129D-9112-407C-81A9-9097C399E260}"/>
    <cellStyle name="20% - Accent6 2 2 3 2 3" xfId="2396" xr:uid="{9FECEADB-417E-4E70-9B5E-00B208CF9309}"/>
    <cellStyle name="20% - Accent6 2 2 3 2 3 2" xfId="6527" xr:uid="{E7954056-A040-4F15-B9A2-3A4B62B7AF0F}"/>
    <cellStyle name="20% - Accent6 2 2 3 2 4" xfId="3220" xr:uid="{5A2C295D-58F6-4955-8A6F-7B5E03C7EED3}"/>
    <cellStyle name="20% - Accent6 2 2 3 2 4 2" xfId="7351" xr:uid="{7482EE2D-C25B-45BA-9FE8-AA79A42465CB}"/>
    <cellStyle name="20% - Accent6 2 2 3 2 5" xfId="4044" xr:uid="{EA4A75DB-808B-4956-9DFF-C8DCEF19AB92}"/>
    <cellStyle name="20% - Accent6 2 2 3 2 5 2" xfId="8203" xr:uid="{5912D3AD-CE1F-44BD-B78E-786B5DA0EF30}"/>
    <cellStyle name="20% - Accent6 2 2 3 2 6" xfId="4874" xr:uid="{BDDE091A-999D-4429-B3FF-D20DB73A9F85}"/>
    <cellStyle name="20% - Accent6 2 2 3 2 7" xfId="9050" xr:uid="{4E21CA54-4609-4451-81CD-EDE6AA4CEF05}"/>
    <cellStyle name="20% - Accent6 2 2 3 3" xfId="1151" xr:uid="{3BD0BA81-33AD-4CCC-A4F9-BD3881FD7062}"/>
    <cellStyle name="20% - Accent6 2 2 3 3 2" xfId="5283" xr:uid="{047BEF82-AA1F-4144-A192-61F88B48E838}"/>
    <cellStyle name="20% - Accent6 2 2 3 4" xfId="1979" xr:uid="{A8510488-542F-41B0-9558-D5617A830B09}"/>
    <cellStyle name="20% - Accent6 2 2 3 4 2" xfId="6110" xr:uid="{E403B156-784F-4E03-BA3C-46195E76F6A4}"/>
    <cellStyle name="20% - Accent6 2 2 3 5" xfId="2803" xr:uid="{CCB6FAB4-1866-4275-813D-F38512C9A651}"/>
    <cellStyle name="20% - Accent6 2 2 3 5 2" xfId="6934" xr:uid="{AE00C394-0C53-4DC8-91B7-3B118AB30684}"/>
    <cellStyle name="20% - Accent6 2 2 3 6" xfId="3627" xr:uid="{3B10F866-4964-4984-BF6A-521F3E05D7AD}"/>
    <cellStyle name="20% - Accent6 2 2 3 6 2" xfId="7786" xr:uid="{1A72BA3C-02F2-423E-8EA4-C1E8C7E9B711}"/>
    <cellStyle name="20% - Accent6 2 2 3 7" xfId="4457" xr:uid="{30A9344E-1B5E-46C9-9EFE-BE6B685503EF}"/>
    <cellStyle name="20% - Accent6 2 2 3 8" xfId="8633" xr:uid="{64922C08-D81F-4325-881D-93739489C044}"/>
    <cellStyle name="20% - Accent6 2 2 4" xfId="534" xr:uid="{00000000-0005-0000-0000-000046010000}"/>
    <cellStyle name="20% - Accent6 2 2 4 2" xfId="1360" xr:uid="{C43A6E60-86AF-461B-A94F-E8BB124D8DA5}"/>
    <cellStyle name="20% - Accent6 2 2 4 2 2" xfId="5492" xr:uid="{C87764FF-CCB9-4606-8B09-6977E7A47E94}"/>
    <cellStyle name="20% - Accent6 2 2 4 3" xfId="2188" xr:uid="{66362707-C82E-471F-9C51-6C97523CB53D}"/>
    <cellStyle name="20% - Accent6 2 2 4 3 2" xfId="6319" xr:uid="{6F150BEE-E1F3-452C-8AA2-06C1C0E82628}"/>
    <cellStyle name="20% - Accent6 2 2 4 4" xfId="3012" xr:uid="{8670E735-2F6B-4137-AD82-E0C8D77B3B15}"/>
    <cellStyle name="20% - Accent6 2 2 4 4 2" xfId="7143" xr:uid="{AAE6FD63-EB88-4126-8BE3-D21D34969A29}"/>
    <cellStyle name="20% - Accent6 2 2 4 5" xfId="3836" xr:uid="{4C98337D-82A4-4866-99A4-F371D6B95561}"/>
    <cellStyle name="20% - Accent6 2 2 4 5 2" xfId="7995" xr:uid="{DF55FAEC-0A7A-495D-A8F3-85595996351A}"/>
    <cellStyle name="20% - Accent6 2 2 4 6" xfId="4666" xr:uid="{EFA12E16-644E-4208-858D-EED6A2610F80}"/>
    <cellStyle name="20% - Accent6 2 2 4 7" xfId="8842" xr:uid="{811EB294-6BF8-49B2-862C-D54109CC331E}"/>
    <cellStyle name="20% - Accent6 2 2 5" xfId="941" xr:uid="{D19E0BBA-0C88-4C7E-A46D-8BB7E3648FD5}"/>
    <cellStyle name="20% - Accent6 2 2 5 2" xfId="5073" xr:uid="{02FD72C1-C3A5-4FD2-B369-A0DCA319DA8A}"/>
    <cellStyle name="20% - Accent6 2 2 6" xfId="1769" xr:uid="{A016FD26-DC14-4B6D-98D4-FFDDEECF345E}"/>
    <cellStyle name="20% - Accent6 2 2 6 2" xfId="5900" xr:uid="{035EA3C2-EFF1-49EA-949B-AB68C1316B78}"/>
    <cellStyle name="20% - Accent6 2 2 7" xfId="2593" xr:uid="{65D3C977-1D7D-43E7-BA08-E58ABE3BAC91}"/>
    <cellStyle name="20% - Accent6 2 2 7 2" xfId="6724" xr:uid="{2E13C25B-1DF3-4CF8-AF29-2DE6055F6C76}"/>
    <cellStyle name="20% - Accent6 2 2 8" xfId="3417" xr:uid="{241680A0-F276-4569-941D-4C804DACE318}"/>
    <cellStyle name="20% - Accent6 2 2 8 2" xfId="7576" xr:uid="{82E861A7-1A04-4A97-A48F-673B2E157C5F}"/>
    <cellStyle name="20% - Accent6 2 2 9" xfId="4247" xr:uid="{F3927B7E-58ED-4F79-B99E-70FE9A7FA5D9}"/>
    <cellStyle name="20% - Accent6 2 3" xfId="168" xr:uid="{00000000-0005-0000-0000-000047010000}"/>
    <cellStyle name="20% - Accent6 2 3 2" xfId="377" xr:uid="{00000000-0005-0000-0000-000048010000}"/>
    <cellStyle name="20% - Accent6 2 3 2 2" xfId="794" xr:uid="{00000000-0005-0000-0000-000049010000}"/>
    <cellStyle name="20% - Accent6 2 3 2 2 2" xfId="1620" xr:uid="{7C23BF98-3567-4B89-80C9-1EDA1E02CDDB}"/>
    <cellStyle name="20% - Accent6 2 3 2 2 2 2" xfId="5752" xr:uid="{E2972212-6493-4E6D-8469-3590EB1743A5}"/>
    <cellStyle name="20% - Accent6 2 3 2 2 3" xfId="2448" xr:uid="{94B854B4-51CD-47BC-A52D-C0D1059EB325}"/>
    <cellStyle name="20% - Accent6 2 3 2 2 3 2" xfId="6579" xr:uid="{B19B66D8-A417-4AAD-90CA-D90C866021A9}"/>
    <cellStyle name="20% - Accent6 2 3 2 2 4" xfId="3272" xr:uid="{2A738B80-EF0F-4CAB-8E15-5C3602A2F4DC}"/>
    <cellStyle name="20% - Accent6 2 3 2 2 4 2" xfId="7403" xr:uid="{B80EE712-15B7-4B66-89BD-487B53B91AF8}"/>
    <cellStyle name="20% - Accent6 2 3 2 2 5" xfId="4096" xr:uid="{F37B660C-D251-44C4-A96D-CA4B6863C56B}"/>
    <cellStyle name="20% - Accent6 2 3 2 2 5 2" xfId="8255" xr:uid="{BEFE29E3-EF3D-4A51-9F21-6BC7F973A91E}"/>
    <cellStyle name="20% - Accent6 2 3 2 2 6" xfId="4926" xr:uid="{BDE4FB87-2653-4097-B6F6-78766009B0F7}"/>
    <cellStyle name="20% - Accent6 2 3 2 2 7" xfId="9102" xr:uid="{5AEF5B1B-94E0-4D5A-862A-8543D0935694}"/>
    <cellStyle name="20% - Accent6 2 3 2 3" xfId="1203" xr:uid="{73C8BF60-A083-45F3-8F59-82182A25BD99}"/>
    <cellStyle name="20% - Accent6 2 3 2 3 2" xfId="5335" xr:uid="{5F53945A-28C8-4309-89DC-6BB09A29A475}"/>
    <cellStyle name="20% - Accent6 2 3 2 4" xfId="2031" xr:uid="{A93D81B8-F180-46BF-B59A-22269CA2FABD}"/>
    <cellStyle name="20% - Accent6 2 3 2 4 2" xfId="6162" xr:uid="{CF9BC688-AD73-48A4-9D97-1413BCFD88DF}"/>
    <cellStyle name="20% - Accent6 2 3 2 5" xfId="2855" xr:uid="{35581562-6172-4C0F-B5BF-12B4163DACA0}"/>
    <cellStyle name="20% - Accent6 2 3 2 5 2" xfId="6986" xr:uid="{9DEB7C1B-2C5F-4CBE-941F-351508F6A958}"/>
    <cellStyle name="20% - Accent6 2 3 2 6" xfId="3679" xr:uid="{8E52FFE5-EB7F-47BE-81B7-4499E84F2225}"/>
    <cellStyle name="20% - Accent6 2 3 2 6 2" xfId="7838" xr:uid="{99251A84-A9B8-4C47-BC5E-FACB1490FF64}"/>
    <cellStyle name="20% - Accent6 2 3 2 7" xfId="4509" xr:uid="{D5EF2C0A-3ADE-4414-8C73-34F0443BDBAA}"/>
    <cellStyle name="20% - Accent6 2 3 2 8" xfId="8685" xr:uid="{195AAA61-A56C-4DD4-A22F-66D00255CE73}"/>
    <cellStyle name="20% - Accent6 2 3 3" xfId="586" xr:uid="{00000000-0005-0000-0000-00004A010000}"/>
    <cellStyle name="20% - Accent6 2 3 3 2" xfId="1412" xr:uid="{B67D50A0-6A1B-4465-9F53-3D9190E8679B}"/>
    <cellStyle name="20% - Accent6 2 3 3 2 2" xfId="5544" xr:uid="{3203AD4E-522C-48A5-B782-046627118B93}"/>
    <cellStyle name="20% - Accent6 2 3 3 3" xfId="2240" xr:uid="{131D2FF8-609C-424A-B46B-863A3CCE7DA3}"/>
    <cellStyle name="20% - Accent6 2 3 3 3 2" xfId="6371" xr:uid="{8999F19B-D0BA-4489-B54D-C3EDC035D55D}"/>
    <cellStyle name="20% - Accent6 2 3 3 4" xfId="3064" xr:uid="{9BC565F3-24E4-41B6-929D-B3529A90D7F3}"/>
    <cellStyle name="20% - Accent6 2 3 3 4 2" xfId="7195" xr:uid="{2E69F180-85DB-46CC-AFB2-0B4FB2147EE6}"/>
    <cellStyle name="20% - Accent6 2 3 3 5" xfId="3888" xr:uid="{4539625C-B544-46FE-9D75-6014B6B47BF8}"/>
    <cellStyle name="20% - Accent6 2 3 3 5 2" xfId="8047" xr:uid="{692C75CE-4B3F-463E-8895-51188C21DE69}"/>
    <cellStyle name="20% - Accent6 2 3 3 6" xfId="4718" xr:uid="{85FE951F-5C9D-481D-991A-15C2485BB556}"/>
    <cellStyle name="20% - Accent6 2 3 3 7" xfId="8894" xr:uid="{719D011F-C806-4814-9BF1-43337B32EE89}"/>
    <cellStyle name="20% - Accent6 2 3 4" xfId="994" xr:uid="{58355826-166C-4C80-971D-5F29C972C6DD}"/>
    <cellStyle name="20% - Accent6 2 3 4 2" xfId="5126" xr:uid="{00807EB0-577F-4EF0-A1FF-48B225733531}"/>
    <cellStyle name="20% - Accent6 2 3 5" xfId="1822" xr:uid="{0CDAFCBD-C7D5-462C-B99A-88B749F114AC}"/>
    <cellStyle name="20% - Accent6 2 3 5 2" xfId="5953" xr:uid="{5881C605-C752-4D54-8BAB-F79CEDF7169B}"/>
    <cellStyle name="20% - Accent6 2 3 6" xfId="2646" xr:uid="{22B6E670-AEC7-4965-820E-4E32E6859185}"/>
    <cellStyle name="20% - Accent6 2 3 6 2" xfId="6777" xr:uid="{28255727-9931-4253-A4D2-5E50A68D511E}"/>
    <cellStyle name="20% - Accent6 2 3 7" xfId="3470" xr:uid="{B2A102D2-DC6B-4D63-A30C-EDBBCF55C2FF}"/>
    <cellStyle name="20% - Accent6 2 3 7 2" xfId="7629" xr:uid="{602DA89A-07B2-49B4-919F-54EFE8816388}"/>
    <cellStyle name="20% - Accent6 2 3 8" xfId="4300" xr:uid="{31E56BAA-ED59-44DA-8E73-5B9362DBD428}"/>
    <cellStyle name="20% - Accent6 2 3 9" xfId="8476" xr:uid="{EFF53829-84C8-4189-9403-5E8DDBDFE61F}"/>
    <cellStyle name="20% - Accent6 2 4" xfId="273" xr:uid="{00000000-0005-0000-0000-00004B010000}"/>
    <cellStyle name="20% - Accent6 2 4 2" xfId="690" xr:uid="{00000000-0005-0000-0000-00004C010000}"/>
    <cellStyle name="20% - Accent6 2 4 2 2" xfId="1516" xr:uid="{978BE5D2-0A27-4F8B-875E-69C3B8300A21}"/>
    <cellStyle name="20% - Accent6 2 4 2 2 2" xfId="5648" xr:uid="{32F7896A-8944-4257-9896-F5B49F40C9D9}"/>
    <cellStyle name="20% - Accent6 2 4 2 3" xfId="2344" xr:uid="{E9A07F54-5094-4777-BEB7-C7C149D4F210}"/>
    <cellStyle name="20% - Accent6 2 4 2 3 2" xfId="6475" xr:uid="{E8684230-FBFD-443A-93D4-879B022C5F81}"/>
    <cellStyle name="20% - Accent6 2 4 2 4" xfId="3168" xr:uid="{D9C017E5-9FC9-4BD5-94DF-382346B3A4FC}"/>
    <cellStyle name="20% - Accent6 2 4 2 4 2" xfId="7299" xr:uid="{CC191D36-187D-4799-9726-5D7DD87AAD7E}"/>
    <cellStyle name="20% - Accent6 2 4 2 5" xfId="3992" xr:uid="{07F84267-BBEF-4063-8D8E-257D69788477}"/>
    <cellStyle name="20% - Accent6 2 4 2 5 2" xfId="8151" xr:uid="{535B67DA-08D3-403B-AEE7-B906B0E0AEF9}"/>
    <cellStyle name="20% - Accent6 2 4 2 6" xfId="4822" xr:uid="{83BCF434-92AC-47C8-90C0-5F1DEA990E3F}"/>
    <cellStyle name="20% - Accent6 2 4 2 7" xfId="8998" xr:uid="{3A2AEBE8-9FDC-446A-AA2F-0DE5ABABAD1B}"/>
    <cellStyle name="20% - Accent6 2 4 3" xfId="1099" xr:uid="{F31A8055-2C34-4B02-BAB4-45C2981926AC}"/>
    <cellStyle name="20% - Accent6 2 4 3 2" xfId="5231" xr:uid="{487A3CD5-F938-4E9E-B32B-6F3C1270FE72}"/>
    <cellStyle name="20% - Accent6 2 4 4" xfId="1927" xr:uid="{9799F10F-035F-4430-A491-631032D98C83}"/>
    <cellStyle name="20% - Accent6 2 4 4 2" xfId="6058" xr:uid="{FA999FAC-BD2C-4A78-A476-1C937FCA32D7}"/>
    <cellStyle name="20% - Accent6 2 4 5" xfId="2751" xr:uid="{E1525AC6-DE66-4FA3-B2B0-80A6F7BEA693}"/>
    <cellStyle name="20% - Accent6 2 4 5 2" xfId="6882" xr:uid="{183032FA-141B-46DD-8360-81865CB1313B}"/>
    <cellStyle name="20% - Accent6 2 4 6" xfId="3575" xr:uid="{AFDE22BD-1D22-4E66-B1E4-486B50B9770B}"/>
    <cellStyle name="20% - Accent6 2 4 6 2" xfId="7734" xr:uid="{030FFC5B-D582-4E27-AFA8-1753F95FB258}"/>
    <cellStyle name="20% - Accent6 2 4 7" xfId="4405" xr:uid="{6ACB0F64-1CD9-4CAE-B447-713DA88C5BF0}"/>
    <cellStyle name="20% - Accent6 2 4 8" xfId="8581" xr:uid="{37DFC527-9564-40A4-A5B8-66F0A892E52C}"/>
    <cellStyle name="20% - Accent6 2 5" xfId="482" xr:uid="{00000000-0005-0000-0000-00004D010000}"/>
    <cellStyle name="20% - Accent6 2 5 2" xfId="1308" xr:uid="{AD9CBAF8-4BF7-4AB0-A7DB-A7D436911BE8}"/>
    <cellStyle name="20% - Accent6 2 5 2 2" xfId="5440" xr:uid="{0E826CCC-5A35-4497-9F76-EA53CB8A194A}"/>
    <cellStyle name="20% - Accent6 2 5 3" xfId="2136" xr:uid="{B7FB184C-D5BE-4BD4-AF91-B87B8FE666F5}"/>
    <cellStyle name="20% - Accent6 2 5 3 2" xfId="6267" xr:uid="{9C130D25-8CB8-4523-90A0-EE14B09A64FA}"/>
    <cellStyle name="20% - Accent6 2 5 4" xfId="2960" xr:uid="{74DACC95-1605-44F6-8C56-CFA09F3553B0}"/>
    <cellStyle name="20% - Accent6 2 5 4 2" xfId="7091" xr:uid="{E01504CE-268B-4593-9350-E9D5FE40FD3E}"/>
    <cellStyle name="20% - Accent6 2 5 5" xfId="3784" xr:uid="{0DB81DC1-99B6-4183-8771-4AD6543752E7}"/>
    <cellStyle name="20% - Accent6 2 5 5 2" xfId="7943" xr:uid="{C1CE6E35-CA2A-4490-840A-499DFEA3FA1B}"/>
    <cellStyle name="20% - Accent6 2 5 6" xfId="4614" xr:uid="{D35E3FE2-9864-42FD-89EB-3621FEE36EEE}"/>
    <cellStyle name="20% - Accent6 2 5 7" xfId="8790" xr:uid="{E1B0AD45-8C8F-4575-AE1F-A6A2A566F3AD}"/>
    <cellStyle name="20% - Accent6 2 6" xfId="888" xr:uid="{25E3445E-D896-43EA-ABA3-FD1B8F496D66}"/>
    <cellStyle name="20% - Accent6 2 6 2" xfId="5020" xr:uid="{02B77EF3-B78A-42B4-B7F1-9A81AEA3033C}"/>
    <cellStyle name="20% - Accent6 2 7" xfId="1716" xr:uid="{EF27FFD7-E1A2-4B20-BF65-4532D967F3F3}"/>
    <cellStyle name="20% - Accent6 2 7 2" xfId="5847" xr:uid="{B7D20B42-E0C9-4E6B-8A73-4CDA3564E2DC}"/>
    <cellStyle name="20% - Accent6 2 8" xfId="2540" xr:uid="{AFFDA79B-AA9A-4909-974D-1D0CB6665F19}"/>
    <cellStyle name="20% - Accent6 2 8 2" xfId="6671" xr:uid="{3F1E1415-B2F2-403B-B515-9FFFD23187CA}"/>
    <cellStyle name="20% - Accent6 2 9" xfId="3364" xr:uid="{7CB37A31-7A10-4AE2-9A34-A0B85394FBB8}"/>
    <cellStyle name="20% - Accent6 2 9 2" xfId="7523" xr:uid="{7493D8AF-2C81-4DC2-837F-894F818A4C7D}"/>
    <cellStyle name="20% - Accent6 3" xfId="75" xr:uid="{00000000-0005-0000-0000-00004E010000}"/>
    <cellStyle name="20% - Accent6 3 10" xfId="4207" xr:uid="{9D512DB2-03DB-4C27-87F7-8595571820A8}"/>
    <cellStyle name="20% - Accent6 3 11" xfId="8383" xr:uid="{EDE8E76F-9043-48A8-AC85-064D76C9A9E9}"/>
    <cellStyle name="20% - Accent6 3 2" xfId="128" xr:uid="{00000000-0005-0000-0000-00004F010000}"/>
    <cellStyle name="20% - Accent6 3 2 10" xfId="8436" xr:uid="{8E0469DE-74B6-4686-94E4-D864A1EE6577}"/>
    <cellStyle name="20% - Accent6 3 2 2" xfId="233" xr:uid="{00000000-0005-0000-0000-000050010000}"/>
    <cellStyle name="20% - Accent6 3 2 2 2" xfId="442" xr:uid="{00000000-0005-0000-0000-000051010000}"/>
    <cellStyle name="20% - Accent6 3 2 2 2 2" xfId="859" xr:uid="{00000000-0005-0000-0000-000052010000}"/>
    <cellStyle name="20% - Accent6 3 2 2 2 2 2" xfId="1685" xr:uid="{B7604BF9-CEDE-4A87-BC86-19638F7A054B}"/>
    <cellStyle name="20% - Accent6 3 2 2 2 2 2 2" xfId="5817" xr:uid="{37138DC1-146E-4A1F-B20C-37A21DCCB5F0}"/>
    <cellStyle name="20% - Accent6 3 2 2 2 2 3" xfId="2513" xr:uid="{89674FCC-E872-484B-80FA-6D73084D2100}"/>
    <cellStyle name="20% - Accent6 3 2 2 2 2 3 2" xfId="6644" xr:uid="{0DB24E7F-B803-4309-B5CA-1D6BDF7CBB88}"/>
    <cellStyle name="20% - Accent6 3 2 2 2 2 4" xfId="3337" xr:uid="{DBC4B18A-A56C-4238-9381-644944953A8A}"/>
    <cellStyle name="20% - Accent6 3 2 2 2 2 4 2" xfId="7468" xr:uid="{D6185B28-C81A-4833-ABBC-60244B86692A}"/>
    <cellStyle name="20% - Accent6 3 2 2 2 2 5" xfId="4161" xr:uid="{F872A24D-638C-4DAF-8030-10ECE638EFC3}"/>
    <cellStyle name="20% - Accent6 3 2 2 2 2 5 2" xfId="8320" xr:uid="{B57132EE-A943-4A58-8DEB-1DA20AD81930}"/>
    <cellStyle name="20% - Accent6 3 2 2 2 2 6" xfId="4991" xr:uid="{DAAD3D1C-AC27-48F0-B3CA-42706EDBEC57}"/>
    <cellStyle name="20% - Accent6 3 2 2 2 2 7" xfId="9167" xr:uid="{BF4BF334-EE60-4DB9-99E2-619208E956DE}"/>
    <cellStyle name="20% - Accent6 3 2 2 2 3" xfId="1268" xr:uid="{BADECAAA-FC32-4C6B-BC93-76F83F04D18C}"/>
    <cellStyle name="20% - Accent6 3 2 2 2 3 2" xfId="5400" xr:uid="{783EB7F1-82D9-4A58-9190-300B74B60466}"/>
    <cellStyle name="20% - Accent6 3 2 2 2 4" xfId="2096" xr:uid="{9E4F818E-A698-4281-BDF0-20107E396DEB}"/>
    <cellStyle name="20% - Accent6 3 2 2 2 4 2" xfId="6227" xr:uid="{1E8C034C-504A-46E1-BC94-8EF219A91C95}"/>
    <cellStyle name="20% - Accent6 3 2 2 2 5" xfId="2920" xr:uid="{DE921008-BC76-43B4-A0C5-3A88AC891F5D}"/>
    <cellStyle name="20% - Accent6 3 2 2 2 5 2" xfId="7051" xr:uid="{4923DDE8-80F7-40DD-9E20-B52134F3A737}"/>
    <cellStyle name="20% - Accent6 3 2 2 2 6" xfId="3744" xr:uid="{3E4A4E3D-194B-4E22-BC9D-52A31149D2D1}"/>
    <cellStyle name="20% - Accent6 3 2 2 2 6 2" xfId="7903" xr:uid="{A830EB9C-167E-405E-935A-334A3FFC2C66}"/>
    <cellStyle name="20% - Accent6 3 2 2 2 7" xfId="4574" xr:uid="{B90E7247-8CFB-4D6C-9207-B0EF0BD276C6}"/>
    <cellStyle name="20% - Accent6 3 2 2 2 8" xfId="8750" xr:uid="{BE2C0D3F-FAB1-45EB-9A79-B337C675FF08}"/>
    <cellStyle name="20% - Accent6 3 2 2 3" xfId="651" xr:uid="{00000000-0005-0000-0000-000053010000}"/>
    <cellStyle name="20% - Accent6 3 2 2 3 2" xfId="1477" xr:uid="{7611C6E9-0550-45A2-8D63-0B7B360B398D}"/>
    <cellStyle name="20% - Accent6 3 2 2 3 2 2" xfId="5609" xr:uid="{4BA40313-3860-4EFA-8B27-4A1D172C83EC}"/>
    <cellStyle name="20% - Accent6 3 2 2 3 3" xfId="2305" xr:uid="{5B0B7BAE-816F-467F-8B35-54255D80DEF3}"/>
    <cellStyle name="20% - Accent6 3 2 2 3 3 2" xfId="6436" xr:uid="{BCB906C6-33A5-4D3B-80E9-523D8309D5E9}"/>
    <cellStyle name="20% - Accent6 3 2 2 3 4" xfId="3129" xr:uid="{79521FFB-74E4-4D76-BD6D-D38FB2B123C1}"/>
    <cellStyle name="20% - Accent6 3 2 2 3 4 2" xfId="7260" xr:uid="{C99A834B-297B-470E-A510-E710C10FCFAE}"/>
    <cellStyle name="20% - Accent6 3 2 2 3 5" xfId="3953" xr:uid="{C59EE084-5C9E-4A4C-8461-5BC857D9F9BA}"/>
    <cellStyle name="20% - Accent6 3 2 2 3 5 2" xfId="8112" xr:uid="{72B9D829-A6F4-4723-905C-31212EF6D9D0}"/>
    <cellStyle name="20% - Accent6 3 2 2 3 6" xfId="4783" xr:uid="{1DA414C7-4D29-42A2-8009-ED677E14B0D9}"/>
    <cellStyle name="20% - Accent6 3 2 2 3 7" xfId="8959" xr:uid="{BB371D22-2682-4F59-B63F-63EBF3925B61}"/>
    <cellStyle name="20% - Accent6 3 2 2 4" xfId="1059" xr:uid="{9A60C198-9652-49E3-9C46-F1320EC75EFA}"/>
    <cellStyle name="20% - Accent6 3 2 2 4 2" xfId="5191" xr:uid="{E43407A0-0194-4BC6-80CE-C715F5297C35}"/>
    <cellStyle name="20% - Accent6 3 2 2 5" xfId="1887" xr:uid="{CC857909-2B4E-48E7-BFD0-F218B9C428BE}"/>
    <cellStyle name="20% - Accent6 3 2 2 5 2" xfId="6018" xr:uid="{0BF9AF3D-B810-4E56-A115-788F84A9DF80}"/>
    <cellStyle name="20% - Accent6 3 2 2 6" xfId="2711" xr:uid="{DC48CBC9-D222-4870-BCAD-AF48E3EBEA65}"/>
    <cellStyle name="20% - Accent6 3 2 2 6 2" xfId="6842" xr:uid="{AA763007-4DB9-4564-8A24-5DBBF2D818F2}"/>
    <cellStyle name="20% - Accent6 3 2 2 7" xfId="3535" xr:uid="{E6334823-AE68-42EC-A0D3-B4EEB7744F6C}"/>
    <cellStyle name="20% - Accent6 3 2 2 7 2" xfId="7694" xr:uid="{456CA1F0-6E53-4500-B70C-CFAC43729CC3}"/>
    <cellStyle name="20% - Accent6 3 2 2 8" xfId="4365" xr:uid="{3AA6E685-7C56-454F-95FF-7B27893B0A1B}"/>
    <cellStyle name="20% - Accent6 3 2 2 9" xfId="8541" xr:uid="{1255F59A-2B96-4A28-825F-01AF6E8524CA}"/>
    <cellStyle name="20% - Accent6 3 2 3" xfId="338" xr:uid="{00000000-0005-0000-0000-000054010000}"/>
    <cellStyle name="20% - Accent6 3 2 3 2" xfId="755" xr:uid="{00000000-0005-0000-0000-000055010000}"/>
    <cellStyle name="20% - Accent6 3 2 3 2 2" xfId="1581" xr:uid="{1F4245D6-D20C-4C80-9243-727E53018CAB}"/>
    <cellStyle name="20% - Accent6 3 2 3 2 2 2" xfId="5713" xr:uid="{A9322D6C-FC84-480D-8A52-09B0BE3B1EAA}"/>
    <cellStyle name="20% - Accent6 3 2 3 2 3" xfId="2409" xr:uid="{AA766241-25EB-4125-97F5-6FF8ABDA4D2B}"/>
    <cellStyle name="20% - Accent6 3 2 3 2 3 2" xfId="6540" xr:uid="{88A18648-6EBB-47B7-8515-E7BCF9361938}"/>
    <cellStyle name="20% - Accent6 3 2 3 2 4" xfId="3233" xr:uid="{EA903423-97B8-45E9-915A-BA2C5E1A4706}"/>
    <cellStyle name="20% - Accent6 3 2 3 2 4 2" xfId="7364" xr:uid="{DAC7899D-5D6D-4E2C-92B7-6D16BD209344}"/>
    <cellStyle name="20% - Accent6 3 2 3 2 5" xfId="4057" xr:uid="{F8D260A8-D796-4417-907D-4E21EBBAE333}"/>
    <cellStyle name="20% - Accent6 3 2 3 2 5 2" xfId="8216" xr:uid="{5272E70F-D1A5-460B-BE75-8FC485758E4D}"/>
    <cellStyle name="20% - Accent6 3 2 3 2 6" xfId="4887" xr:uid="{55C2D6AD-754E-4B77-8359-83E3C7EB283A}"/>
    <cellStyle name="20% - Accent6 3 2 3 2 7" xfId="9063" xr:uid="{29400FC5-0DCA-4A78-A999-B9BD0386974F}"/>
    <cellStyle name="20% - Accent6 3 2 3 3" xfId="1164" xr:uid="{A5AE96BA-F6BA-4295-9E52-E4C5157CE537}"/>
    <cellStyle name="20% - Accent6 3 2 3 3 2" xfId="5296" xr:uid="{E3DE109F-84AC-479C-9791-4110CF2183C1}"/>
    <cellStyle name="20% - Accent6 3 2 3 4" xfId="1992" xr:uid="{CBFA564C-4089-4994-B733-5D57FB6240C8}"/>
    <cellStyle name="20% - Accent6 3 2 3 4 2" xfId="6123" xr:uid="{268EE76A-9624-4801-BFBD-3727E26E9941}"/>
    <cellStyle name="20% - Accent6 3 2 3 5" xfId="2816" xr:uid="{E77F287F-0FA8-42D4-8A96-3DC48BDD93A2}"/>
    <cellStyle name="20% - Accent6 3 2 3 5 2" xfId="6947" xr:uid="{680C0C02-AA4D-4700-9C7A-E1740E588914}"/>
    <cellStyle name="20% - Accent6 3 2 3 6" xfId="3640" xr:uid="{D0E8C69D-2869-4B6C-BA3E-FB65551ED2F9}"/>
    <cellStyle name="20% - Accent6 3 2 3 6 2" xfId="7799" xr:uid="{6CEE62CD-EC94-4791-8375-A9E02D45BEBB}"/>
    <cellStyle name="20% - Accent6 3 2 3 7" xfId="4470" xr:uid="{E073C178-F598-4BF8-BD2D-97FB2D6E5180}"/>
    <cellStyle name="20% - Accent6 3 2 3 8" xfId="8646" xr:uid="{73E74367-C3E3-492D-8DAC-3C8122C8EFF8}"/>
    <cellStyle name="20% - Accent6 3 2 4" xfId="547" xr:uid="{00000000-0005-0000-0000-000056010000}"/>
    <cellStyle name="20% - Accent6 3 2 4 2" xfId="1373" xr:uid="{3B77EBDF-2755-46CD-A087-9DCC73298CB3}"/>
    <cellStyle name="20% - Accent6 3 2 4 2 2" xfId="5505" xr:uid="{B89DBF2D-3937-4A83-8319-F27DBC46A02C}"/>
    <cellStyle name="20% - Accent6 3 2 4 3" xfId="2201" xr:uid="{E6689094-39FC-4243-9D6A-3A05699C9328}"/>
    <cellStyle name="20% - Accent6 3 2 4 3 2" xfId="6332" xr:uid="{6F4D2A55-F715-4908-A57B-E86410AE3B32}"/>
    <cellStyle name="20% - Accent6 3 2 4 4" xfId="3025" xr:uid="{E9A360DC-7DF8-47BE-A804-866845754236}"/>
    <cellStyle name="20% - Accent6 3 2 4 4 2" xfId="7156" xr:uid="{177CE36C-3C16-4DE7-832D-839BE76212BA}"/>
    <cellStyle name="20% - Accent6 3 2 4 5" xfId="3849" xr:uid="{ADCE345D-9124-4480-8850-7BAA94A58242}"/>
    <cellStyle name="20% - Accent6 3 2 4 5 2" xfId="8008" xr:uid="{9DFB6F81-E828-4F49-BCA8-18EF71248704}"/>
    <cellStyle name="20% - Accent6 3 2 4 6" xfId="4679" xr:uid="{85F6CD30-F005-4C6A-AAE5-3404E3CF6268}"/>
    <cellStyle name="20% - Accent6 3 2 4 7" xfId="8855" xr:uid="{D9217E23-82EE-4FD2-A171-BD56776938F1}"/>
    <cellStyle name="20% - Accent6 3 2 5" xfId="954" xr:uid="{D2D4CE20-290E-4DE3-8133-EF2B8A24982F}"/>
    <cellStyle name="20% - Accent6 3 2 5 2" xfId="5086" xr:uid="{FABEC8A8-05A5-4B14-A1DB-C6B76E7E11E0}"/>
    <cellStyle name="20% - Accent6 3 2 6" xfId="1782" xr:uid="{617ACF55-E970-4090-AFFA-32D6D2872D72}"/>
    <cellStyle name="20% - Accent6 3 2 6 2" xfId="5913" xr:uid="{6EECAB8B-29FC-4D72-BA4B-5C9492A3A613}"/>
    <cellStyle name="20% - Accent6 3 2 7" xfId="2606" xr:uid="{FFED58CA-44E1-44DD-8941-132BAF9521FA}"/>
    <cellStyle name="20% - Accent6 3 2 7 2" xfId="6737" xr:uid="{7081FAFD-BC15-4317-8253-63D53DE3A0B2}"/>
    <cellStyle name="20% - Accent6 3 2 8" xfId="3430" xr:uid="{8A7EBB2A-A47C-40BC-B781-F556BF699CBD}"/>
    <cellStyle name="20% - Accent6 3 2 8 2" xfId="7589" xr:uid="{390FE35C-858A-4AD5-8EF9-2E243705E33C}"/>
    <cellStyle name="20% - Accent6 3 2 9" xfId="4260" xr:uid="{234B19D1-AC78-4AD1-9F77-83E251CD5371}"/>
    <cellStyle name="20% - Accent6 3 3" xfId="181" xr:uid="{00000000-0005-0000-0000-000057010000}"/>
    <cellStyle name="20% - Accent6 3 3 2" xfId="390" xr:uid="{00000000-0005-0000-0000-000058010000}"/>
    <cellStyle name="20% - Accent6 3 3 2 2" xfId="807" xr:uid="{00000000-0005-0000-0000-000059010000}"/>
    <cellStyle name="20% - Accent6 3 3 2 2 2" xfId="1633" xr:uid="{4686F572-1C5E-464A-A7A0-589B5C135EE5}"/>
    <cellStyle name="20% - Accent6 3 3 2 2 2 2" xfId="5765" xr:uid="{FEACA8C7-730E-4217-9630-A7382B3E78A8}"/>
    <cellStyle name="20% - Accent6 3 3 2 2 3" xfId="2461" xr:uid="{8247C797-4522-41EB-B16E-ACE3B4138854}"/>
    <cellStyle name="20% - Accent6 3 3 2 2 3 2" xfId="6592" xr:uid="{571489CC-285E-496A-B84B-EFE56838B05A}"/>
    <cellStyle name="20% - Accent6 3 3 2 2 4" xfId="3285" xr:uid="{8E4A73B5-5D32-4B06-AB21-2DD061C9E4CF}"/>
    <cellStyle name="20% - Accent6 3 3 2 2 4 2" xfId="7416" xr:uid="{4197F858-1043-4930-8FA3-312EF4BDCB64}"/>
    <cellStyle name="20% - Accent6 3 3 2 2 5" xfId="4109" xr:uid="{E4C00C8C-A5A8-41DD-B8A3-53788606533C}"/>
    <cellStyle name="20% - Accent6 3 3 2 2 5 2" xfId="8268" xr:uid="{C96B64E2-4E59-4A60-983F-8C3DEE77CBE5}"/>
    <cellStyle name="20% - Accent6 3 3 2 2 6" xfId="4939" xr:uid="{FACA6A1E-2544-4934-9206-EC7E3F5D0AC9}"/>
    <cellStyle name="20% - Accent6 3 3 2 2 7" xfId="9115" xr:uid="{04374234-AAD1-480E-8BF8-3D6EF4D40850}"/>
    <cellStyle name="20% - Accent6 3 3 2 3" xfId="1216" xr:uid="{14C4C4CF-59A0-40F8-85C5-3DA38C4BF314}"/>
    <cellStyle name="20% - Accent6 3 3 2 3 2" xfId="5348" xr:uid="{4C69E8BA-ED8B-4FFA-B718-DEB7B3FFDBAF}"/>
    <cellStyle name="20% - Accent6 3 3 2 4" xfId="2044" xr:uid="{0561C770-CB7F-4B57-82CC-3032850E6B44}"/>
    <cellStyle name="20% - Accent6 3 3 2 4 2" xfId="6175" xr:uid="{FD2BD470-0E48-47A8-8CC6-15D9F456D4FA}"/>
    <cellStyle name="20% - Accent6 3 3 2 5" xfId="2868" xr:uid="{6FB24C8D-040A-4194-9977-93533B42A38F}"/>
    <cellStyle name="20% - Accent6 3 3 2 5 2" xfId="6999" xr:uid="{DE66F6CA-C787-499A-8DB4-BB41502E247D}"/>
    <cellStyle name="20% - Accent6 3 3 2 6" xfId="3692" xr:uid="{A3E6FBC2-1AD0-43D0-A767-3D255EC92849}"/>
    <cellStyle name="20% - Accent6 3 3 2 6 2" xfId="7851" xr:uid="{4AB76ABA-10C2-4920-AE2A-786CDF67B49F}"/>
    <cellStyle name="20% - Accent6 3 3 2 7" xfId="4522" xr:uid="{40143365-115D-4E8F-892F-E7D1984CC71A}"/>
    <cellStyle name="20% - Accent6 3 3 2 8" xfId="8698" xr:uid="{09262015-A1D6-4375-8E12-9EE538679C41}"/>
    <cellStyle name="20% - Accent6 3 3 3" xfId="599" xr:uid="{00000000-0005-0000-0000-00005A010000}"/>
    <cellStyle name="20% - Accent6 3 3 3 2" xfId="1425" xr:uid="{A6457A38-0301-4EA2-ABAA-F84CC86F72AC}"/>
    <cellStyle name="20% - Accent6 3 3 3 2 2" xfId="5557" xr:uid="{0B8CE531-1611-498B-902B-40D1BB3BDFBE}"/>
    <cellStyle name="20% - Accent6 3 3 3 3" xfId="2253" xr:uid="{EE7E200B-89CE-43B5-A37B-689558DE0750}"/>
    <cellStyle name="20% - Accent6 3 3 3 3 2" xfId="6384" xr:uid="{843CCA3C-0900-4715-B621-AAE36D605122}"/>
    <cellStyle name="20% - Accent6 3 3 3 4" xfId="3077" xr:uid="{9A7076C9-8FE6-4BA8-99A7-F1E9AC715D69}"/>
    <cellStyle name="20% - Accent6 3 3 3 4 2" xfId="7208" xr:uid="{3D124166-FDB1-4DC0-8E33-E4908DC166CE}"/>
    <cellStyle name="20% - Accent6 3 3 3 5" xfId="3901" xr:uid="{6243EA42-046D-4726-8C39-5F92E65B71EE}"/>
    <cellStyle name="20% - Accent6 3 3 3 5 2" xfId="8060" xr:uid="{A58C8426-66A9-4AE2-B825-FA79029D106B}"/>
    <cellStyle name="20% - Accent6 3 3 3 6" xfId="4731" xr:uid="{7A12EC55-7E75-4487-A8B1-98002DF53E3A}"/>
    <cellStyle name="20% - Accent6 3 3 3 7" xfId="8907" xr:uid="{DB270BA9-7C9D-49B1-86C5-75741A4B5587}"/>
    <cellStyle name="20% - Accent6 3 3 4" xfId="1007" xr:uid="{E98CCD06-6032-4E85-BE81-C79CEB9B7A17}"/>
    <cellStyle name="20% - Accent6 3 3 4 2" xfId="5139" xr:uid="{CED792A4-36C1-49CF-8E62-C679DD7C52B0}"/>
    <cellStyle name="20% - Accent6 3 3 5" xfId="1835" xr:uid="{A9D817C5-361C-4FC4-8612-5A106C1D6D16}"/>
    <cellStyle name="20% - Accent6 3 3 5 2" xfId="5966" xr:uid="{07B80405-E2D8-4C12-A4AA-DEA55E941181}"/>
    <cellStyle name="20% - Accent6 3 3 6" xfId="2659" xr:uid="{48224B0C-6E41-4500-B68A-388017D455E7}"/>
    <cellStyle name="20% - Accent6 3 3 6 2" xfId="6790" xr:uid="{7E6F91F1-DCA1-4684-9CF2-8B36058C6D80}"/>
    <cellStyle name="20% - Accent6 3 3 7" xfId="3483" xr:uid="{21B30F81-4805-42DF-BCB9-DD9DB7F0FB87}"/>
    <cellStyle name="20% - Accent6 3 3 7 2" xfId="7642" xr:uid="{0C53FA8D-D514-464A-8A46-6966D6420064}"/>
    <cellStyle name="20% - Accent6 3 3 8" xfId="4313" xr:uid="{335ECD21-6860-4004-88E8-2FAE0190BAFA}"/>
    <cellStyle name="20% - Accent6 3 3 9" xfId="8489" xr:uid="{30F80772-1654-4BE8-9C19-6E188551656A}"/>
    <cellStyle name="20% - Accent6 3 4" xfId="286" xr:uid="{00000000-0005-0000-0000-00005B010000}"/>
    <cellStyle name="20% - Accent6 3 4 2" xfId="703" xr:uid="{00000000-0005-0000-0000-00005C010000}"/>
    <cellStyle name="20% - Accent6 3 4 2 2" xfId="1529" xr:uid="{5F38CC33-1183-45DE-B1E5-30AD8C63A78D}"/>
    <cellStyle name="20% - Accent6 3 4 2 2 2" xfId="5661" xr:uid="{661FE8F1-F491-4112-8581-493FCD43089B}"/>
    <cellStyle name="20% - Accent6 3 4 2 3" xfId="2357" xr:uid="{06ABEA88-F6D0-47F7-B511-20D2429A9D8E}"/>
    <cellStyle name="20% - Accent6 3 4 2 3 2" xfId="6488" xr:uid="{6415F69B-E4EE-4E9D-AD85-B7F694DC8CE9}"/>
    <cellStyle name="20% - Accent6 3 4 2 4" xfId="3181" xr:uid="{A3F20DAC-EB16-40E7-AC6A-CFDCD975AA3E}"/>
    <cellStyle name="20% - Accent6 3 4 2 4 2" xfId="7312" xr:uid="{A3013EEB-0C70-4643-90C0-A288CAF93FAF}"/>
    <cellStyle name="20% - Accent6 3 4 2 5" xfId="4005" xr:uid="{E612BAA8-8A14-42F7-BA01-8FBEE42FBB4E}"/>
    <cellStyle name="20% - Accent6 3 4 2 5 2" xfId="8164" xr:uid="{E95C5845-2C32-40A8-92B2-DCC334D1107E}"/>
    <cellStyle name="20% - Accent6 3 4 2 6" xfId="4835" xr:uid="{53BF1AB3-A17E-45D8-AE20-F4251B1072D8}"/>
    <cellStyle name="20% - Accent6 3 4 2 7" xfId="9011" xr:uid="{FD364A31-04F3-4AD0-ABA3-5489438465E5}"/>
    <cellStyle name="20% - Accent6 3 4 3" xfId="1112" xr:uid="{40D3FCB5-E3F8-4F86-A439-5C16A7773EE9}"/>
    <cellStyle name="20% - Accent6 3 4 3 2" xfId="5244" xr:uid="{BC1E3EE8-73DA-4496-8BED-D7F641CA5E8E}"/>
    <cellStyle name="20% - Accent6 3 4 4" xfId="1940" xr:uid="{358E83E1-FA57-408A-8CE0-699A0E5DC9E1}"/>
    <cellStyle name="20% - Accent6 3 4 4 2" xfId="6071" xr:uid="{2FC33A0C-4479-474B-9286-1FD1D1CF40F7}"/>
    <cellStyle name="20% - Accent6 3 4 5" xfId="2764" xr:uid="{949072D7-A56E-420C-82E9-36D0A7AD1FD1}"/>
    <cellStyle name="20% - Accent6 3 4 5 2" xfId="6895" xr:uid="{A5DF79D8-FC17-4679-B007-AFDB9F234855}"/>
    <cellStyle name="20% - Accent6 3 4 6" xfId="3588" xr:uid="{A096AA79-5E46-40B4-90A8-0ED9519B38D4}"/>
    <cellStyle name="20% - Accent6 3 4 6 2" xfId="7747" xr:uid="{A8F63049-0F59-465E-98E1-FBCF3FD6B363}"/>
    <cellStyle name="20% - Accent6 3 4 7" xfId="4418" xr:uid="{25C4E1E0-67F5-4348-8314-D81EB8C1BCD0}"/>
    <cellStyle name="20% - Accent6 3 4 8" xfId="8594" xr:uid="{F6AE4BBB-3432-4CA8-ACD4-45F0DE6230FF}"/>
    <cellStyle name="20% - Accent6 3 5" xfId="495" xr:uid="{00000000-0005-0000-0000-00005D010000}"/>
    <cellStyle name="20% - Accent6 3 5 2" xfId="1321" xr:uid="{6FA073E2-C26E-47B1-BD5D-319B1C0B92D2}"/>
    <cellStyle name="20% - Accent6 3 5 2 2" xfId="5453" xr:uid="{26991A5E-7CD0-43F0-8AD5-5FD79A7DBE67}"/>
    <cellStyle name="20% - Accent6 3 5 3" xfId="2149" xr:uid="{FA737BDB-0336-4C04-80FD-A368A4650247}"/>
    <cellStyle name="20% - Accent6 3 5 3 2" xfId="6280" xr:uid="{52FD1E26-0DE5-424E-AF1B-05F3682542EB}"/>
    <cellStyle name="20% - Accent6 3 5 4" xfId="2973" xr:uid="{9C1E851B-204D-4480-AC32-6551ABFB52C5}"/>
    <cellStyle name="20% - Accent6 3 5 4 2" xfId="7104" xr:uid="{5A778E70-C969-4C23-8611-A1D7F02D7B72}"/>
    <cellStyle name="20% - Accent6 3 5 5" xfId="3797" xr:uid="{877A5D0B-00CB-4EB9-AF8E-741B82680991}"/>
    <cellStyle name="20% - Accent6 3 5 5 2" xfId="7956" xr:uid="{F9973731-3C0C-461F-AA2F-57FBEA940B38}"/>
    <cellStyle name="20% - Accent6 3 5 6" xfId="4627" xr:uid="{100A12C5-B051-4A81-80DF-E45DC54BC30C}"/>
    <cellStyle name="20% - Accent6 3 5 7" xfId="8803" xr:uid="{5188E86D-4DD4-4E09-856C-E503F4756116}"/>
    <cellStyle name="20% - Accent6 3 6" xfId="901" xr:uid="{E9955523-5DBB-4965-93F5-FF188F49A8EC}"/>
    <cellStyle name="20% - Accent6 3 6 2" xfId="5033" xr:uid="{57556D29-82CB-469B-B97A-CCB163707056}"/>
    <cellStyle name="20% - Accent6 3 7" xfId="1729" xr:uid="{41256C2E-8EA0-4F72-9719-45DAB1BED73D}"/>
    <cellStyle name="20% - Accent6 3 7 2" xfId="5860" xr:uid="{203EC414-0075-4059-90D0-E45F8DC1815B}"/>
    <cellStyle name="20% - Accent6 3 8" xfId="2553" xr:uid="{B222EF1C-37EB-4B23-864A-68E2DC182437}"/>
    <cellStyle name="20% - Accent6 3 8 2" xfId="6684" xr:uid="{25ADA5F0-532F-4A92-B637-4BA70BEFC227}"/>
    <cellStyle name="20% - Accent6 3 9" xfId="3377" xr:uid="{386C33ED-BC7A-4EC5-B50A-F61B225B924E}"/>
    <cellStyle name="20% - Accent6 3 9 2" xfId="7536" xr:uid="{7E95401E-0FBA-4204-A885-7E02F970A1CA}"/>
    <cellStyle name="20% - Accent6 4" xfId="88" xr:uid="{00000000-0005-0000-0000-00005E010000}"/>
    <cellStyle name="20% - Accent6 4 10" xfId="8396" xr:uid="{DC7ECE49-E16D-4617-A865-DEA245007B73}"/>
    <cellStyle name="20% - Accent6 4 2" xfId="194" xr:uid="{00000000-0005-0000-0000-00005F010000}"/>
    <cellStyle name="20% - Accent6 4 2 2" xfId="403" xr:uid="{00000000-0005-0000-0000-000060010000}"/>
    <cellStyle name="20% - Accent6 4 2 2 2" xfId="820" xr:uid="{00000000-0005-0000-0000-000061010000}"/>
    <cellStyle name="20% - Accent6 4 2 2 2 2" xfId="1646" xr:uid="{B50A5CEC-7D1E-42DA-9BC7-E5AF0469C796}"/>
    <cellStyle name="20% - Accent6 4 2 2 2 2 2" xfId="5778" xr:uid="{C4B89AD2-09F4-40D9-84EB-45DC23B308E5}"/>
    <cellStyle name="20% - Accent6 4 2 2 2 3" xfId="2474" xr:uid="{8BE4D7EF-049B-49E9-B008-6E240009A4B3}"/>
    <cellStyle name="20% - Accent6 4 2 2 2 3 2" xfId="6605" xr:uid="{9CE1F7C2-784C-4A94-BAD4-3E867D8D9E06}"/>
    <cellStyle name="20% - Accent6 4 2 2 2 4" xfId="3298" xr:uid="{8E0F8412-34F3-475C-AE83-8579A7FDE6AF}"/>
    <cellStyle name="20% - Accent6 4 2 2 2 4 2" xfId="7429" xr:uid="{F6F13CA8-F158-4F17-A45E-65B2FDBE355F}"/>
    <cellStyle name="20% - Accent6 4 2 2 2 5" xfId="4122" xr:uid="{B50F9D62-6D0A-46D3-B010-C236944413FA}"/>
    <cellStyle name="20% - Accent6 4 2 2 2 5 2" xfId="8281" xr:uid="{D115D535-5AD6-4AB9-9AF5-87F919BE6822}"/>
    <cellStyle name="20% - Accent6 4 2 2 2 6" xfId="4952" xr:uid="{5DCAEF8A-173C-4768-88B9-C0AC5DA7C830}"/>
    <cellStyle name="20% - Accent6 4 2 2 2 7" xfId="9128" xr:uid="{5F787E08-328D-4278-8A39-CDEBC4B46503}"/>
    <cellStyle name="20% - Accent6 4 2 2 3" xfId="1229" xr:uid="{5D26E71B-A61E-4F15-A3AB-C87873ACE456}"/>
    <cellStyle name="20% - Accent6 4 2 2 3 2" xfId="5361" xr:uid="{284994B5-B3CC-43A3-86CD-2FF89405C2CE}"/>
    <cellStyle name="20% - Accent6 4 2 2 4" xfId="2057" xr:uid="{0856304A-48B9-421E-953B-4E45D4A33C62}"/>
    <cellStyle name="20% - Accent6 4 2 2 4 2" xfId="6188" xr:uid="{D4105B82-2C3F-41FF-8D21-0AED41DCAA3D}"/>
    <cellStyle name="20% - Accent6 4 2 2 5" xfId="2881" xr:uid="{A20CD05B-9280-4C7A-89B7-9F8BBCEAB04B}"/>
    <cellStyle name="20% - Accent6 4 2 2 5 2" xfId="7012" xr:uid="{EBB0D5C9-AC3D-42B4-8B89-953AE9B7FCEC}"/>
    <cellStyle name="20% - Accent6 4 2 2 6" xfId="3705" xr:uid="{FCFD1A16-0E9D-47F6-ACD8-F9E2907170A6}"/>
    <cellStyle name="20% - Accent6 4 2 2 6 2" xfId="7864" xr:uid="{3B1B3269-8FD3-4861-8735-5213D7B13EEE}"/>
    <cellStyle name="20% - Accent6 4 2 2 7" xfId="4535" xr:uid="{81A73537-BCA1-41A0-84E8-D129F1D6A69D}"/>
    <cellStyle name="20% - Accent6 4 2 2 8" xfId="8711" xr:uid="{FC5394A9-F1FF-4ACD-BE8D-D1E5A3495A55}"/>
    <cellStyle name="20% - Accent6 4 2 3" xfId="612" xr:uid="{00000000-0005-0000-0000-000062010000}"/>
    <cellStyle name="20% - Accent6 4 2 3 2" xfId="1438" xr:uid="{BB56C57E-2EE2-4AC7-B5FD-471E3FB5EC48}"/>
    <cellStyle name="20% - Accent6 4 2 3 2 2" xfId="5570" xr:uid="{20634AC5-0105-4CB0-ADC4-A027F8B37F68}"/>
    <cellStyle name="20% - Accent6 4 2 3 3" xfId="2266" xr:uid="{94F6BCFC-84DA-4089-A5AC-3577EB536DFC}"/>
    <cellStyle name="20% - Accent6 4 2 3 3 2" xfId="6397" xr:uid="{C01733C3-2C14-42D3-BCE5-ED8468EDEE52}"/>
    <cellStyle name="20% - Accent6 4 2 3 4" xfId="3090" xr:uid="{DC1EA048-7A2E-4CEC-B7C3-CCF8A03BF5CF}"/>
    <cellStyle name="20% - Accent6 4 2 3 4 2" xfId="7221" xr:uid="{FB23E4A4-9825-4DCF-954D-B288247CEE3D}"/>
    <cellStyle name="20% - Accent6 4 2 3 5" xfId="3914" xr:uid="{EB98CE8F-2D13-463C-B21D-315107724409}"/>
    <cellStyle name="20% - Accent6 4 2 3 5 2" xfId="8073" xr:uid="{987FC11B-609E-4410-9A0D-DF49E3E6716C}"/>
    <cellStyle name="20% - Accent6 4 2 3 6" xfId="4744" xr:uid="{4A00BA8D-56D1-420D-A550-FC301A95030F}"/>
    <cellStyle name="20% - Accent6 4 2 3 7" xfId="8920" xr:uid="{3D8D26FB-9500-4865-ADCF-7BC991AB54AD}"/>
    <cellStyle name="20% - Accent6 4 2 4" xfId="1020" xr:uid="{F8C4A730-D9DA-4C58-B975-0BD38EFE8CBC}"/>
    <cellStyle name="20% - Accent6 4 2 4 2" xfId="5152" xr:uid="{AAF73C71-591F-48C6-B64A-0563B327317A}"/>
    <cellStyle name="20% - Accent6 4 2 5" xfId="1848" xr:uid="{D96D391B-FBBE-4955-8BF2-F5CC0664CF37}"/>
    <cellStyle name="20% - Accent6 4 2 5 2" xfId="5979" xr:uid="{DAED5C8B-7836-4016-BC81-640A64582FCD}"/>
    <cellStyle name="20% - Accent6 4 2 6" xfId="2672" xr:uid="{45FDA543-1568-43F9-8E17-91056992C4E5}"/>
    <cellStyle name="20% - Accent6 4 2 6 2" xfId="6803" xr:uid="{EFC99C77-3279-4F92-882A-0245EE74CEB6}"/>
    <cellStyle name="20% - Accent6 4 2 7" xfId="3496" xr:uid="{838D3A0E-3EC9-44A6-B2B4-030B8F7B0C15}"/>
    <cellStyle name="20% - Accent6 4 2 7 2" xfId="7655" xr:uid="{1F94B121-7A68-405B-AF79-1EE7118D84E2}"/>
    <cellStyle name="20% - Accent6 4 2 8" xfId="4326" xr:uid="{4E36758E-0D04-4AA1-B83B-A14205D0698B}"/>
    <cellStyle name="20% - Accent6 4 2 9" xfId="8502" xr:uid="{D83CC16A-8118-405C-BA97-1EE10114A1D5}"/>
    <cellStyle name="20% - Accent6 4 3" xfId="299" xr:uid="{00000000-0005-0000-0000-000063010000}"/>
    <cellStyle name="20% - Accent6 4 3 2" xfId="716" xr:uid="{00000000-0005-0000-0000-000064010000}"/>
    <cellStyle name="20% - Accent6 4 3 2 2" xfId="1542" xr:uid="{06582E0D-2AB6-4783-AEB4-A07C03A0C7D1}"/>
    <cellStyle name="20% - Accent6 4 3 2 2 2" xfId="5674" xr:uid="{B7FFA959-4405-4881-ACDE-555B8E1A4AC5}"/>
    <cellStyle name="20% - Accent6 4 3 2 3" xfId="2370" xr:uid="{65236C55-3B1D-4916-BFA7-0075B9316023}"/>
    <cellStyle name="20% - Accent6 4 3 2 3 2" xfId="6501" xr:uid="{56334D34-B735-4AA3-B041-452BB2E70011}"/>
    <cellStyle name="20% - Accent6 4 3 2 4" xfId="3194" xr:uid="{B61CEE88-702F-4C0E-8AFB-3A78E6DB22E8}"/>
    <cellStyle name="20% - Accent6 4 3 2 4 2" xfId="7325" xr:uid="{8E38777C-547D-4393-8AA2-EFC04F7BB0E0}"/>
    <cellStyle name="20% - Accent6 4 3 2 5" xfId="4018" xr:uid="{4D21DE43-BC65-4732-A0C0-D600FC66F892}"/>
    <cellStyle name="20% - Accent6 4 3 2 5 2" xfId="8177" xr:uid="{CE6B65BE-A5AD-4C69-91C8-3AC9C364BA00}"/>
    <cellStyle name="20% - Accent6 4 3 2 6" xfId="4848" xr:uid="{6C19B797-F716-405A-B401-00C74F457A4F}"/>
    <cellStyle name="20% - Accent6 4 3 2 7" xfId="9024" xr:uid="{69F85255-D10E-4DB0-9ED8-844EDA671851}"/>
    <cellStyle name="20% - Accent6 4 3 3" xfId="1125" xr:uid="{4ACC6CC0-9ADE-4B5F-BDB5-6CDAF6F209BB}"/>
    <cellStyle name="20% - Accent6 4 3 3 2" xfId="5257" xr:uid="{9FA69745-D911-4851-A5DE-FB7880B23E19}"/>
    <cellStyle name="20% - Accent6 4 3 4" xfId="1953" xr:uid="{09CDAF06-6955-4B68-8A8E-C523BB00F373}"/>
    <cellStyle name="20% - Accent6 4 3 4 2" xfId="6084" xr:uid="{F39AE31E-4850-43CC-971B-F0313F0D4780}"/>
    <cellStyle name="20% - Accent6 4 3 5" xfId="2777" xr:uid="{6DE8A90A-3109-4F2B-BF47-3FB9ABDD81A0}"/>
    <cellStyle name="20% - Accent6 4 3 5 2" xfId="6908" xr:uid="{86DBB21D-25E8-4E63-A6C1-DB6ADAAC753E}"/>
    <cellStyle name="20% - Accent6 4 3 6" xfId="3601" xr:uid="{A4CEC285-12AF-436E-924A-19C323969D61}"/>
    <cellStyle name="20% - Accent6 4 3 6 2" xfId="7760" xr:uid="{20BC49F3-67F4-406B-BF6F-0593664F447A}"/>
    <cellStyle name="20% - Accent6 4 3 7" xfId="4431" xr:uid="{920EECBC-41A2-40A3-9994-53263AC81F6E}"/>
    <cellStyle name="20% - Accent6 4 3 8" xfId="8607" xr:uid="{1D671839-E487-4FA4-A5FD-62B650FF7876}"/>
    <cellStyle name="20% - Accent6 4 4" xfId="508" xr:uid="{00000000-0005-0000-0000-000065010000}"/>
    <cellStyle name="20% - Accent6 4 4 2" xfId="1334" xr:uid="{64AC454C-18AD-4F67-A65E-CC62392DA46F}"/>
    <cellStyle name="20% - Accent6 4 4 2 2" xfId="5466" xr:uid="{FDAD27EC-DE42-4820-8855-231AD6E717EC}"/>
    <cellStyle name="20% - Accent6 4 4 3" xfId="2162" xr:uid="{9D27E181-B0A3-4508-9A8F-442D2421EDA0}"/>
    <cellStyle name="20% - Accent6 4 4 3 2" xfId="6293" xr:uid="{239A080A-9670-40C7-AE8B-6C0954E50FF9}"/>
    <cellStyle name="20% - Accent6 4 4 4" xfId="2986" xr:uid="{938A03A2-ED20-4B44-B0A3-E10DECECD881}"/>
    <cellStyle name="20% - Accent6 4 4 4 2" xfId="7117" xr:uid="{3E3880C5-79F1-47F8-82FE-6F3B11A1DD87}"/>
    <cellStyle name="20% - Accent6 4 4 5" xfId="3810" xr:uid="{234C2391-EA6C-441F-A047-CC662BC3B073}"/>
    <cellStyle name="20% - Accent6 4 4 5 2" xfId="7969" xr:uid="{9C35DD98-304A-488A-B89D-1A25AA7A02C5}"/>
    <cellStyle name="20% - Accent6 4 4 6" xfId="4640" xr:uid="{7DAE9D9E-67A9-4CBB-AE9C-19D430823710}"/>
    <cellStyle name="20% - Accent6 4 4 7" xfId="8816" xr:uid="{FF7259E5-F1C8-4378-AE91-E45B85E3E98B}"/>
    <cellStyle name="20% - Accent6 4 5" xfId="914" xr:uid="{EAAFE385-FF55-4712-9BCC-070385E5006F}"/>
    <cellStyle name="20% - Accent6 4 5 2" xfId="5046" xr:uid="{513E91E1-79E4-4545-874B-39EA201870C4}"/>
    <cellStyle name="20% - Accent6 4 6" xfId="1742" xr:uid="{6B6F894D-A9A2-43B6-9E20-FF8A93F8E784}"/>
    <cellStyle name="20% - Accent6 4 6 2" xfId="5873" xr:uid="{C5A9169C-1F1A-4913-8B18-467EB4856C56}"/>
    <cellStyle name="20% - Accent6 4 7" xfId="2566" xr:uid="{F2EF88DF-1A43-4A90-B944-2FDBD94EDEE5}"/>
    <cellStyle name="20% - Accent6 4 7 2" xfId="6697" xr:uid="{8DD34055-D97A-4C6E-BB73-C8BB734F9CEA}"/>
    <cellStyle name="20% - Accent6 4 8" xfId="3390" xr:uid="{DF2446AE-6662-46CD-A349-2E8203992884}"/>
    <cellStyle name="20% - Accent6 4 8 2" xfId="7549" xr:uid="{A4255D03-4343-4F21-B431-81D78208FFF2}"/>
    <cellStyle name="20% - Accent6 4 9" xfId="4220" xr:uid="{0B827744-5A25-4E86-8541-8079A615C77A}"/>
    <cellStyle name="20% - Accent6 5" xfId="101" xr:uid="{00000000-0005-0000-0000-000066010000}"/>
    <cellStyle name="20% - Accent6 5 10" xfId="8409" xr:uid="{5B77D5A1-399D-4B3A-ACB6-9A20AFFB04FB}"/>
    <cellStyle name="20% - Accent6 5 2" xfId="206" xr:uid="{00000000-0005-0000-0000-000067010000}"/>
    <cellStyle name="20% - Accent6 5 2 2" xfId="415" xr:uid="{00000000-0005-0000-0000-000068010000}"/>
    <cellStyle name="20% - Accent6 5 2 2 2" xfId="832" xr:uid="{00000000-0005-0000-0000-000069010000}"/>
    <cellStyle name="20% - Accent6 5 2 2 2 2" xfId="1658" xr:uid="{38216F76-2F78-4535-99B8-99347A5DF21E}"/>
    <cellStyle name="20% - Accent6 5 2 2 2 2 2" xfId="5790" xr:uid="{BCCFDC74-6C80-4D18-B011-948DC92E4910}"/>
    <cellStyle name="20% - Accent6 5 2 2 2 3" xfId="2486" xr:uid="{CAF77600-1BF5-4B91-AB51-437A57A8AF2B}"/>
    <cellStyle name="20% - Accent6 5 2 2 2 3 2" xfId="6617" xr:uid="{6F6ECFA3-7B1D-47AD-8C35-6AF8C18F68AF}"/>
    <cellStyle name="20% - Accent6 5 2 2 2 4" xfId="3310" xr:uid="{7893C233-A7AC-4BC5-8A96-7E2114F91A29}"/>
    <cellStyle name="20% - Accent6 5 2 2 2 4 2" xfId="7441" xr:uid="{56D5C136-FE4B-40BF-A893-EFB95827E624}"/>
    <cellStyle name="20% - Accent6 5 2 2 2 5" xfId="4134" xr:uid="{34AA7C59-26ED-426C-906C-CCC88C8974C2}"/>
    <cellStyle name="20% - Accent6 5 2 2 2 5 2" xfId="8293" xr:uid="{498B1F4F-5F7D-49E0-B63A-883B4EAF84AC}"/>
    <cellStyle name="20% - Accent6 5 2 2 2 6" xfId="4964" xr:uid="{AB90EA76-40C7-4204-9BE7-822B9B8DFBE2}"/>
    <cellStyle name="20% - Accent6 5 2 2 2 7" xfId="9140" xr:uid="{3C7860EE-7677-4A91-85A2-7E6EF9330B15}"/>
    <cellStyle name="20% - Accent6 5 2 2 3" xfId="1241" xr:uid="{790AFA5E-0DD5-4B2E-97E5-11B57C8302E1}"/>
    <cellStyle name="20% - Accent6 5 2 2 3 2" xfId="5373" xr:uid="{060CFA2C-1A87-4AC6-A6DB-E4630C166061}"/>
    <cellStyle name="20% - Accent6 5 2 2 4" xfId="2069" xr:uid="{2CD74D27-E0A2-45DD-85EB-1C277C9DD65E}"/>
    <cellStyle name="20% - Accent6 5 2 2 4 2" xfId="6200" xr:uid="{00DEBB92-0A5C-420D-8EC6-638FCA05378A}"/>
    <cellStyle name="20% - Accent6 5 2 2 5" xfId="2893" xr:uid="{E8E43546-8F2B-43BE-98D5-87CEC9D13091}"/>
    <cellStyle name="20% - Accent6 5 2 2 5 2" xfId="7024" xr:uid="{F08E94D3-5697-4F37-B235-0BC187883525}"/>
    <cellStyle name="20% - Accent6 5 2 2 6" xfId="3717" xr:uid="{F34334DC-F912-4B50-A332-118523CB53FE}"/>
    <cellStyle name="20% - Accent6 5 2 2 6 2" xfId="7876" xr:uid="{0B65C506-E801-480E-8154-20DA2232E813}"/>
    <cellStyle name="20% - Accent6 5 2 2 7" xfId="4547" xr:uid="{738D763F-A519-447B-9669-F192FD979723}"/>
    <cellStyle name="20% - Accent6 5 2 2 8" xfId="8723" xr:uid="{F9E79EC2-D767-4BE0-84EB-5A5D0E46B865}"/>
    <cellStyle name="20% - Accent6 5 2 3" xfId="624" xr:uid="{00000000-0005-0000-0000-00006A010000}"/>
    <cellStyle name="20% - Accent6 5 2 3 2" xfId="1450" xr:uid="{8EC0BAAE-97E9-4F0D-85C3-679E0F4F4696}"/>
    <cellStyle name="20% - Accent6 5 2 3 2 2" xfId="5582" xr:uid="{03F2624C-0D39-449B-B207-26E70A434D27}"/>
    <cellStyle name="20% - Accent6 5 2 3 3" xfId="2278" xr:uid="{4C88FA39-65D8-472B-97C0-9A568C43DBC3}"/>
    <cellStyle name="20% - Accent6 5 2 3 3 2" xfId="6409" xr:uid="{8431807E-B14E-4B0D-AF0D-64F0BA6DEB6F}"/>
    <cellStyle name="20% - Accent6 5 2 3 4" xfId="3102" xr:uid="{5B28538C-4BD9-4AF4-A8CA-F3D07EDCE9E7}"/>
    <cellStyle name="20% - Accent6 5 2 3 4 2" xfId="7233" xr:uid="{F2314B32-CBFE-49F4-BBD4-D2ED6BF3BFB0}"/>
    <cellStyle name="20% - Accent6 5 2 3 5" xfId="3926" xr:uid="{69303997-9286-425A-9574-50D14851276D}"/>
    <cellStyle name="20% - Accent6 5 2 3 5 2" xfId="8085" xr:uid="{7F739297-EA9B-43B2-8BEF-569841A219A2}"/>
    <cellStyle name="20% - Accent6 5 2 3 6" xfId="4756" xr:uid="{F47C4EF4-1872-41D4-85AF-FF004BF39D5C}"/>
    <cellStyle name="20% - Accent6 5 2 3 7" xfId="8932" xr:uid="{0BC30D4D-7B29-4C68-9DE7-596986B7ADA7}"/>
    <cellStyle name="20% - Accent6 5 2 4" xfId="1032" xr:uid="{B7F296AA-3DEB-4FC1-B7F1-96EFF974DF8C}"/>
    <cellStyle name="20% - Accent6 5 2 4 2" xfId="5164" xr:uid="{EA7016F1-F36B-449B-92E9-5F5769079F3C}"/>
    <cellStyle name="20% - Accent6 5 2 5" xfId="1860" xr:uid="{549002DC-E7C4-4D6C-8C4B-C8DC26CA6E72}"/>
    <cellStyle name="20% - Accent6 5 2 5 2" xfId="5991" xr:uid="{462C5B51-2E79-4C0E-9C26-B4B7181FACAA}"/>
    <cellStyle name="20% - Accent6 5 2 6" xfId="2684" xr:uid="{1F11E8DE-3842-4181-9726-C7279A63E749}"/>
    <cellStyle name="20% - Accent6 5 2 6 2" xfId="6815" xr:uid="{8FAD0282-A065-4A8C-B057-B740F9C299E6}"/>
    <cellStyle name="20% - Accent6 5 2 7" xfId="3508" xr:uid="{1607C182-2305-4439-9B58-8D0E31102D1F}"/>
    <cellStyle name="20% - Accent6 5 2 7 2" xfId="7667" xr:uid="{B40A9FD9-8DAB-434E-A259-D83F5030B09E}"/>
    <cellStyle name="20% - Accent6 5 2 8" xfId="4338" xr:uid="{5A631C56-8BA7-47A7-9DB2-5391EF8B4E6A}"/>
    <cellStyle name="20% - Accent6 5 2 9" xfId="8514" xr:uid="{6DA7A5E6-90F4-4C9F-8440-7758910AD333}"/>
    <cellStyle name="20% - Accent6 5 3" xfId="311" xr:uid="{00000000-0005-0000-0000-00006B010000}"/>
    <cellStyle name="20% - Accent6 5 3 2" xfId="728" xr:uid="{00000000-0005-0000-0000-00006C010000}"/>
    <cellStyle name="20% - Accent6 5 3 2 2" xfId="1554" xr:uid="{DBEA0037-0CD4-45A9-A469-51EBCD7AD48F}"/>
    <cellStyle name="20% - Accent6 5 3 2 2 2" xfId="5686" xr:uid="{B4AA849D-97BB-4549-992F-3DBDA227806C}"/>
    <cellStyle name="20% - Accent6 5 3 2 3" xfId="2382" xr:uid="{7298F373-AF27-4313-B0E1-9D9A815A9B08}"/>
    <cellStyle name="20% - Accent6 5 3 2 3 2" xfId="6513" xr:uid="{25324E29-F6E7-44DE-81DC-0101BC56A272}"/>
    <cellStyle name="20% - Accent6 5 3 2 4" xfId="3206" xr:uid="{1BDB6F0A-EFF3-42E4-91F5-5E5D7C9F34B2}"/>
    <cellStyle name="20% - Accent6 5 3 2 4 2" xfId="7337" xr:uid="{051DF79E-4D95-43CA-B3E0-F0C41CBEDA21}"/>
    <cellStyle name="20% - Accent6 5 3 2 5" xfId="4030" xr:uid="{EF3D6C7B-ED34-40F4-AF30-23C16E7EF9DE}"/>
    <cellStyle name="20% - Accent6 5 3 2 5 2" xfId="8189" xr:uid="{CA5E9EBB-B0E3-4BFA-A353-B6CD3734CEBE}"/>
    <cellStyle name="20% - Accent6 5 3 2 6" xfId="4860" xr:uid="{C21C6E38-2D33-4D5A-9A0D-6BAE2B300CF4}"/>
    <cellStyle name="20% - Accent6 5 3 2 7" xfId="9036" xr:uid="{45349C15-563F-4E5A-AB9E-98096D95E232}"/>
    <cellStyle name="20% - Accent6 5 3 3" xfId="1137" xr:uid="{266D5044-1382-4CB3-B0D3-3CD270E4388F}"/>
    <cellStyle name="20% - Accent6 5 3 3 2" xfId="5269" xr:uid="{24025D64-846B-4ADF-946A-253871E3ACF9}"/>
    <cellStyle name="20% - Accent6 5 3 4" xfId="1965" xr:uid="{5D6ED838-E92A-4D74-96B4-B31187CC9B8D}"/>
    <cellStyle name="20% - Accent6 5 3 4 2" xfId="6096" xr:uid="{D76041D2-B618-459F-9C69-68CFB97673EE}"/>
    <cellStyle name="20% - Accent6 5 3 5" xfId="2789" xr:uid="{CCD605BC-AC24-4F4B-B5DC-A02557CE5082}"/>
    <cellStyle name="20% - Accent6 5 3 5 2" xfId="6920" xr:uid="{A2170CDA-7DD7-447B-BA26-0772FB57833D}"/>
    <cellStyle name="20% - Accent6 5 3 6" xfId="3613" xr:uid="{45C86397-4DC5-4BA2-8EBD-C55D29C76470}"/>
    <cellStyle name="20% - Accent6 5 3 6 2" xfId="7772" xr:uid="{C466D8CB-5165-4CF3-AB43-67FC524155A9}"/>
    <cellStyle name="20% - Accent6 5 3 7" xfId="4443" xr:uid="{56C3F327-8A50-476B-AB14-6178D5064A57}"/>
    <cellStyle name="20% - Accent6 5 3 8" xfId="8619" xr:uid="{C3D12D67-A97A-4DDC-886B-DB05C6FFF061}"/>
    <cellStyle name="20% - Accent6 5 4" xfId="520" xr:uid="{00000000-0005-0000-0000-00006D010000}"/>
    <cellStyle name="20% - Accent6 5 4 2" xfId="1346" xr:uid="{3C5655C6-1737-425F-B7FC-0AC1940A0B73}"/>
    <cellStyle name="20% - Accent6 5 4 2 2" xfId="5478" xr:uid="{1B3E7EBE-7235-471E-A1FD-BB0FFA66AC34}"/>
    <cellStyle name="20% - Accent6 5 4 3" xfId="2174" xr:uid="{8F3981BF-6529-475C-84AC-336ECBFDB793}"/>
    <cellStyle name="20% - Accent6 5 4 3 2" xfId="6305" xr:uid="{2C4268ED-AC38-4456-B121-B6115F3B76CD}"/>
    <cellStyle name="20% - Accent6 5 4 4" xfId="2998" xr:uid="{177CD5FD-3A0B-4CEE-B05F-12BA99B8C1E4}"/>
    <cellStyle name="20% - Accent6 5 4 4 2" xfId="7129" xr:uid="{AD62804B-EEA8-4AA7-9D83-6B276A942EFE}"/>
    <cellStyle name="20% - Accent6 5 4 5" xfId="3822" xr:uid="{9D150074-7461-4227-97AA-E8597B8EAE08}"/>
    <cellStyle name="20% - Accent6 5 4 5 2" xfId="7981" xr:uid="{8FE77CDE-6928-4F71-8DF6-85F59D77B657}"/>
    <cellStyle name="20% - Accent6 5 4 6" xfId="4652" xr:uid="{0B555E5E-B5D7-487D-897E-BA4E89F98CB3}"/>
    <cellStyle name="20% - Accent6 5 4 7" xfId="8828" xr:uid="{5F9C77AF-5FEB-41EA-A6D3-2C8032F8B84D}"/>
    <cellStyle name="20% - Accent6 5 5" xfId="927" xr:uid="{B3903151-C163-40DE-99E9-4519C2B7569C}"/>
    <cellStyle name="20% - Accent6 5 5 2" xfId="5059" xr:uid="{859C817E-9268-4786-BE55-9563BF6E93D2}"/>
    <cellStyle name="20% - Accent6 5 6" xfId="1755" xr:uid="{2D06CCA4-4C1D-4074-A93D-CD743403E655}"/>
    <cellStyle name="20% - Accent6 5 6 2" xfId="5886" xr:uid="{0295BAF8-368F-470D-8BEB-1715C1C8C0FF}"/>
    <cellStyle name="20% - Accent6 5 7" xfId="2579" xr:uid="{8BA39787-8FE9-4304-AF37-60F32CA6B4DB}"/>
    <cellStyle name="20% - Accent6 5 7 2" xfId="6710" xr:uid="{836BE12D-48FA-407F-AF4A-49B023B923E2}"/>
    <cellStyle name="20% - Accent6 5 8" xfId="3403" xr:uid="{6E108ACF-C1A3-40A7-80BC-D95000DA88E9}"/>
    <cellStyle name="20% - Accent6 5 8 2" xfId="7562" xr:uid="{6DC4D10E-F2F3-4F4D-8A79-9627D22B6711}"/>
    <cellStyle name="20% - Accent6 5 9" xfId="4233" xr:uid="{DC4BB14C-AE1F-45E3-9594-32B7AC626C91}"/>
    <cellStyle name="20% - Accent6 6" xfId="141" xr:uid="{00000000-0005-0000-0000-00006E010000}"/>
    <cellStyle name="20% - Accent6 6 2" xfId="351" xr:uid="{00000000-0005-0000-0000-00006F010000}"/>
    <cellStyle name="20% - Accent6 6 2 2" xfId="768" xr:uid="{00000000-0005-0000-0000-000070010000}"/>
    <cellStyle name="20% - Accent6 6 2 2 2" xfId="1594" xr:uid="{5ABA50F1-0898-40FA-B4E7-852BC08EEC69}"/>
    <cellStyle name="20% - Accent6 6 2 2 2 2" xfId="5726" xr:uid="{2E100043-7C5D-46AF-B73D-C0DD25AA7A3B}"/>
    <cellStyle name="20% - Accent6 6 2 2 3" xfId="2422" xr:uid="{068A3F8E-6C42-4973-8EA7-7036F58B6BA4}"/>
    <cellStyle name="20% - Accent6 6 2 2 3 2" xfId="6553" xr:uid="{0B5252C3-B5D4-4706-AD1E-94E5CD8E2AD5}"/>
    <cellStyle name="20% - Accent6 6 2 2 4" xfId="3246" xr:uid="{7542A77F-8064-40CA-BA39-3EB4C146B7EC}"/>
    <cellStyle name="20% - Accent6 6 2 2 4 2" xfId="7377" xr:uid="{5D9665DD-8479-45C5-A401-EF713EBEBF9C}"/>
    <cellStyle name="20% - Accent6 6 2 2 5" xfId="4070" xr:uid="{256E712D-2F7C-4B5D-A04C-6C8C5816131A}"/>
    <cellStyle name="20% - Accent6 6 2 2 5 2" xfId="8229" xr:uid="{7353FBFD-7913-4FEA-9422-03ED1154C4C9}"/>
    <cellStyle name="20% - Accent6 6 2 2 6" xfId="4900" xr:uid="{065D558D-EA67-4F00-BC88-293CCD977B00}"/>
    <cellStyle name="20% - Accent6 6 2 2 7" xfId="9076" xr:uid="{CE815454-624E-4C5B-82B7-C48BAA688E0C}"/>
    <cellStyle name="20% - Accent6 6 2 3" xfId="1177" xr:uid="{86311FEA-3FD0-4957-A507-91F6E1780EF1}"/>
    <cellStyle name="20% - Accent6 6 2 3 2" xfId="5309" xr:uid="{2E0C0549-B8E1-481F-8BD5-8A6801FADF1D}"/>
    <cellStyle name="20% - Accent6 6 2 4" xfId="2005" xr:uid="{5BA385D1-1134-446E-8478-95272F7DFA2F}"/>
    <cellStyle name="20% - Accent6 6 2 4 2" xfId="6136" xr:uid="{CE8D7822-EA32-4135-8F8B-C14E75C1E896}"/>
    <cellStyle name="20% - Accent6 6 2 5" xfId="2829" xr:uid="{BDC57C55-ECF5-4D0F-BF1F-EA7A06B2A214}"/>
    <cellStyle name="20% - Accent6 6 2 5 2" xfId="6960" xr:uid="{9D7DB03C-6798-4F3D-84B8-2E36AEDCC702}"/>
    <cellStyle name="20% - Accent6 6 2 6" xfId="3653" xr:uid="{DFC6F66C-EB3C-4D96-9B89-9821EDC4A938}"/>
    <cellStyle name="20% - Accent6 6 2 6 2" xfId="7812" xr:uid="{9EDF6B5B-BB14-4F73-BD70-C3F6C3DA88B6}"/>
    <cellStyle name="20% - Accent6 6 2 7" xfId="4483" xr:uid="{EA10E6F5-C0C9-43D4-97A8-E73C28444BA6}"/>
    <cellStyle name="20% - Accent6 6 2 8" xfId="8659" xr:uid="{C888725A-E29C-43D3-88BA-6033EEA9B497}"/>
    <cellStyle name="20% - Accent6 6 3" xfId="560" xr:uid="{00000000-0005-0000-0000-000071010000}"/>
    <cellStyle name="20% - Accent6 6 3 2" xfId="1386" xr:uid="{52158611-7FB6-4045-8500-92379CCB6E04}"/>
    <cellStyle name="20% - Accent6 6 3 2 2" xfId="5518" xr:uid="{CA123B0A-EDB8-4F84-B561-FDCA35F8FFB2}"/>
    <cellStyle name="20% - Accent6 6 3 3" xfId="2214" xr:uid="{CB64A7DE-C50A-4600-AA85-FAF7834B0504}"/>
    <cellStyle name="20% - Accent6 6 3 3 2" xfId="6345" xr:uid="{F5112F24-EAD3-4CE6-9D27-2C95A2E2D859}"/>
    <cellStyle name="20% - Accent6 6 3 4" xfId="3038" xr:uid="{7064DAAB-8EA8-40C0-82C3-717CD43D0311}"/>
    <cellStyle name="20% - Accent6 6 3 4 2" xfId="7169" xr:uid="{293E7C03-E5C4-40A8-BA27-B447535E1B98}"/>
    <cellStyle name="20% - Accent6 6 3 5" xfId="3862" xr:uid="{B75D9777-4C5C-4CB1-A110-A6E14534EBF6}"/>
    <cellStyle name="20% - Accent6 6 3 5 2" xfId="8021" xr:uid="{76AF45EA-1AB0-4FE9-AC39-768CD103CA57}"/>
    <cellStyle name="20% - Accent6 6 3 6" xfId="4692" xr:uid="{CF0FED3D-870C-4D76-B40C-3B369F970583}"/>
    <cellStyle name="20% - Accent6 6 3 7" xfId="8868" xr:uid="{48989D9E-86C6-4C76-AC76-368368BA7C80}"/>
    <cellStyle name="20% - Accent6 6 4" xfId="967" xr:uid="{E641836C-D7AE-4C88-B1F8-805FA518FF5D}"/>
    <cellStyle name="20% - Accent6 6 4 2" xfId="5099" xr:uid="{34039D0C-9E00-49A9-8251-E28670CD5E33}"/>
    <cellStyle name="20% - Accent6 6 5" xfId="1795" xr:uid="{D66E26E3-B7EE-4A60-BE73-CA4C731BA1C7}"/>
    <cellStyle name="20% - Accent6 6 5 2" xfId="5926" xr:uid="{35439B1F-40E4-4771-92E3-CDE7168A84C8}"/>
    <cellStyle name="20% - Accent6 6 6" xfId="2619" xr:uid="{11151C60-660E-4E3B-A9BE-6ABB7B00DBAE}"/>
    <cellStyle name="20% - Accent6 6 6 2" xfId="6750" xr:uid="{67B91598-F471-400E-8355-5105C91D9DE2}"/>
    <cellStyle name="20% - Accent6 6 7" xfId="3443" xr:uid="{C6F4DEC9-B7C5-4FB8-A0DB-D4DED7C5FEEF}"/>
    <cellStyle name="20% - Accent6 6 7 2" xfId="7602" xr:uid="{61BB9D8D-82C8-4D30-B861-4854878C4512}"/>
    <cellStyle name="20% - Accent6 6 8" xfId="4273" xr:uid="{6DA090EB-521E-4D63-BA8E-F795DE121E85}"/>
    <cellStyle name="20% - Accent6 6 9" xfId="8449" xr:uid="{C23C75F6-4B8B-41BB-85C5-CAA03368A08B}"/>
    <cellStyle name="20% - Accent6 7" xfId="154" xr:uid="{00000000-0005-0000-0000-000072010000}"/>
    <cellStyle name="20% - Accent6 7 2" xfId="363" xr:uid="{00000000-0005-0000-0000-000073010000}"/>
    <cellStyle name="20% - Accent6 7 2 2" xfId="780" xr:uid="{00000000-0005-0000-0000-000074010000}"/>
    <cellStyle name="20% - Accent6 7 2 2 2" xfId="1606" xr:uid="{CC8B8720-23E0-4DA6-9248-46657847854E}"/>
    <cellStyle name="20% - Accent6 7 2 2 2 2" xfId="5738" xr:uid="{4DF9F532-41E6-45BC-84CF-D5C0CFE6AABE}"/>
    <cellStyle name="20% - Accent6 7 2 2 3" xfId="2434" xr:uid="{11D60C3C-FAA1-42EE-989C-09E0B7D3093F}"/>
    <cellStyle name="20% - Accent6 7 2 2 3 2" xfId="6565" xr:uid="{B561C367-A5E1-4935-81B3-4BB11DBFA6FF}"/>
    <cellStyle name="20% - Accent6 7 2 2 4" xfId="3258" xr:uid="{D9BAB6D2-7B4A-4CF1-B69B-0D66E9AA8B02}"/>
    <cellStyle name="20% - Accent6 7 2 2 4 2" xfId="7389" xr:uid="{2EA528F8-53A4-4672-BC60-DCE8FF588412}"/>
    <cellStyle name="20% - Accent6 7 2 2 5" xfId="4082" xr:uid="{C4C9B963-1299-4AFC-85ED-3D127BF383A2}"/>
    <cellStyle name="20% - Accent6 7 2 2 5 2" xfId="8241" xr:uid="{BB15741D-A802-4691-B32C-80B90FF3F46B}"/>
    <cellStyle name="20% - Accent6 7 2 2 6" xfId="4912" xr:uid="{CD8E07F9-6755-42CA-B1EE-6804B75687EB}"/>
    <cellStyle name="20% - Accent6 7 2 2 7" xfId="9088" xr:uid="{89F937BF-C2CD-48E1-A45B-7C95C44922B9}"/>
    <cellStyle name="20% - Accent6 7 2 3" xfId="1189" xr:uid="{88A29AFD-AF0C-4571-BB3A-63103AFCCEF1}"/>
    <cellStyle name="20% - Accent6 7 2 3 2" xfId="5321" xr:uid="{0C4586F3-069D-4C4E-BA8B-542139BE8355}"/>
    <cellStyle name="20% - Accent6 7 2 4" xfId="2017" xr:uid="{260F2930-1DFE-423A-8B43-C307AA582F9F}"/>
    <cellStyle name="20% - Accent6 7 2 4 2" xfId="6148" xr:uid="{CFF0F4B8-B729-4799-A8B6-60A8C30700E1}"/>
    <cellStyle name="20% - Accent6 7 2 5" xfId="2841" xr:uid="{D68C278F-CE52-4DE6-A0F4-C96D77EFF991}"/>
    <cellStyle name="20% - Accent6 7 2 5 2" xfId="6972" xr:uid="{687C0B2E-F4F9-43F2-B340-E6364BD5C659}"/>
    <cellStyle name="20% - Accent6 7 2 6" xfId="3665" xr:uid="{A1FB281C-9D27-42D7-8A17-20C9ABAA31C4}"/>
    <cellStyle name="20% - Accent6 7 2 6 2" xfId="7824" xr:uid="{1A3EF708-F5F0-4307-BDFE-E5696726A948}"/>
    <cellStyle name="20% - Accent6 7 2 7" xfId="4495" xr:uid="{01880026-9BB5-43A1-9E2B-1CE176A305C8}"/>
    <cellStyle name="20% - Accent6 7 2 8" xfId="8671" xr:uid="{B724F9A0-6FC1-4A14-8197-E1AB0AF5B0DC}"/>
    <cellStyle name="20% - Accent6 7 3" xfId="572" xr:uid="{00000000-0005-0000-0000-000075010000}"/>
    <cellStyle name="20% - Accent6 7 3 2" xfId="1398" xr:uid="{6EBF0224-C42B-4934-9AA2-0C78DCA5DCF4}"/>
    <cellStyle name="20% - Accent6 7 3 2 2" xfId="5530" xr:uid="{A3E451AE-1B71-441C-A934-A6CD9997CAE1}"/>
    <cellStyle name="20% - Accent6 7 3 3" xfId="2226" xr:uid="{04B0D612-F746-4B8C-8887-2F3A30B03A90}"/>
    <cellStyle name="20% - Accent6 7 3 3 2" xfId="6357" xr:uid="{C0FD8B8B-F40C-4DFD-9A79-70D16FB11014}"/>
    <cellStyle name="20% - Accent6 7 3 4" xfId="3050" xr:uid="{6C77E872-2831-4072-BEC8-806978A582A6}"/>
    <cellStyle name="20% - Accent6 7 3 4 2" xfId="7181" xr:uid="{99BAEACB-7D2E-4BB9-9933-B08C1C8DE731}"/>
    <cellStyle name="20% - Accent6 7 3 5" xfId="3874" xr:uid="{CF3189D0-30A8-4614-A833-70F114CC7E2B}"/>
    <cellStyle name="20% - Accent6 7 3 5 2" xfId="8033" xr:uid="{287D318D-2411-4554-A871-69621283F231}"/>
    <cellStyle name="20% - Accent6 7 3 6" xfId="4704" xr:uid="{7CC5BE2A-25DB-4254-972D-8588B9819554}"/>
    <cellStyle name="20% - Accent6 7 3 7" xfId="8880" xr:uid="{8F6E2B5C-77DD-454C-A92D-F986692D5322}"/>
    <cellStyle name="20% - Accent6 7 4" xfId="980" xr:uid="{90E8454C-D79C-4B23-98D0-B48FD68C49E9}"/>
    <cellStyle name="20% - Accent6 7 4 2" xfId="5112" xr:uid="{65FF14B0-8D52-456B-89BA-5B6D52BA1868}"/>
    <cellStyle name="20% - Accent6 7 5" xfId="1808" xr:uid="{1AB6DB37-4786-4BC2-95D2-8ED2EC61DB35}"/>
    <cellStyle name="20% - Accent6 7 5 2" xfId="5939" xr:uid="{ABCE013B-1EC7-4119-9DC4-5AE7B0EA90B9}"/>
    <cellStyle name="20% - Accent6 7 6" xfId="2632" xr:uid="{0584342C-8422-4B1C-B87F-2D6487BA3EE2}"/>
    <cellStyle name="20% - Accent6 7 6 2" xfId="6763" xr:uid="{8F4AF2F2-44B2-4252-8098-868D20DC12FB}"/>
    <cellStyle name="20% - Accent6 7 7" xfId="3456" xr:uid="{5E539B02-AA41-49F4-A66A-FFC1C3625EF6}"/>
    <cellStyle name="20% - Accent6 7 7 2" xfId="7615" xr:uid="{0556CF86-394F-4D9F-A50E-94564F3E9AC0}"/>
    <cellStyle name="20% - Accent6 7 8" xfId="4286" xr:uid="{086AEB74-3CD3-44C0-924F-C9B76AB6CBA9}"/>
    <cellStyle name="20% - Accent6 7 9" xfId="8462" xr:uid="{0E21860C-5740-45FC-8A12-809A09440624}"/>
    <cellStyle name="20% - Accent6 8" xfId="246" xr:uid="{00000000-0005-0000-0000-000076010000}"/>
    <cellStyle name="20% - Accent6 8 2" xfId="664" xr:uid="{00000000-0005-0000-0000-000077010000}"/>
    <cellStyle name="20% - Accent6 8 2 2" xfId="1490" xr:uid="{600105F4-E4CB-414B-8AFB-11662EBAAA66}"/>
    <cellStyle name="20% - Accent6 8 2 2 2" xfId="5622" xr:uid="{8ACAE99F-A727-45B7-9DA8-DD786C22C10B}"/>
    <cellStyle name="20% - Accent6 8 2 3" xfId="2318" xr:uid="{82625A0E-EF19-481C-B94C-BB6697375C5F}"/>
    <cellStyle name="20% - Accent6 8 2 3 2" xfId="6449" xr:uid="{E62C134C-688F-4F70-8AF7-BF407898DB7A}"/>
    <cellStyle name="20% - Accent6 8 2 4" xfId="3142" xr:uid="{50ED05DB-2162-49F4-926C-01B4812A3036}"/>
    <cellStyle name="20% - Accent6 8 2 4 2" xfId="7273" xr:uid="{8D127CC8-5709-4688-BBFD-C48F8B3637DC}"/>
    <cellStyle name="20% - Accent6 8 2 5" xfId="3966" xr:uid="{3610702A-C180-43AF-BB36-6D66748025A5}"/>
    <cellStyle name="20% - Accent6 8 2 5 2" xfId="8125" xr:uid="{1B874A56-7A73-4868-A51D-1177EF0089F0}"/>
    <cellStyle name="20% - Accent6 8 2 6" xfId="4796" xr:uid="{D9D63759-D19E-41AE-A3D0-18EDBB6A3A62}"/>
    <cellStyle name="20% - Accent6 8 2 7" xfId="8972" xr:uid="{FB85A865-C031-493B-9FA0-1C31621B8627}"/>
    <cellStyle name="20% - Accent6 8 3" xfId="1072" xr:uid="{0FA33ED9-A77A-4F8E-8122-018CE707B133}"/>
    <cellStyle name="20% - Accent6 8 3 2" xfId="5204" xr:uid="{574072FD-4CBF-4680-AE93-87051CA74945}"/>
    <cellStyle name="20% - Accent6 8 4" xfId="1900" xr:uid="{F21E2B31-8B68-4050-AE2F-7C16B73DFDE7}"/>
    <cellStyle name="20% - Accent6 8 4 2" xfId="6031" xr:uid="{7EA17FC7-C9E0-4E9B-9DAA-F6A1E8FE0F3E}"/>
    <cellStyle name="20% - Accent6 8 5" xfId="2724" xr:uid="{34232F26-E3DF-44E5-A7C2-2F32B8AFC360}"/>
    <cellStyle name="20% - Accent6 8 5 2" xfId="6855" xr:uid="{ACC1BB51-A8B0-46ED-8682-0E4B110648F4}"/>
    <cellStyle name="20% - Accent6 8 6" xfId="3548" xr:uid="{E6E580AB-F201-4D27-A659-46718DC8DC4B}"/>
    <cellStyle name="20% - Accent6 8 6 2" xfId="7707" xr:uid="{08530D73-1A8E-487B-B547-3C9D6857CC49}"/>
    <cellStyle name="20% - Accent6 8 7" xfId="4378" xr:uid="{2A12CD99-215C-44F5-B980-C43FA5F3B65A}"/>
    <cellStyle name="20% - Accent6 8 8" xfId="8554" xr:uid="{98295C82-52A3-4B05-B48E-EDD8705DE9E7}"/>
    <cellStyle name="20% - Accent6 9" xfId="259" xr:uid="{00000000-0005-0000-0000-000078010000}"/>
    <cellStyle name="20% - Accent6 9 2" xfId="676" xr:uid="{00000000-0005-0000-0000-000079010000}"/>
    <cellStyle name="20% - Accent6 9 2 2" xfId="1502" xr:uid="{445E69C5-DB71-4175-9207-EA840F41C281}"/>
    <cellStyle name="20% - Accent6 9 2 2 2" xfId="5634" xr:uid="{DF28A052-5871-4A81-A305-C06C4ADDE9F8}"/>
    <cellStyle name="20% - Accent6 9 2 3" xfId="2330" xr:uid="{042DBE68-BE40-44CE-96BF-4233F69AF7BD}"/>
    <cellStyle name="20% - Accent6 9 2 3 2" xfId="6461" xr:uid="{3B69A027-A876-4A63-8131-51E58821DD2A}"/>
    <cellStyle name="20% - Accent6 9 2 4" xfId="3154" xr:uid="{9C707853-1502-43FA-BAF2-ABC262A153E4}"/>
    <cellStyle name="20% - Accent6 9 2 4 2" xfId="7285" xr:uid="{DDB2F848-19A9-49ED-8DAD-89021E2661C1}"/>
    <cellStyle name="20% - Accent6 9 2 5" xfId="3978" xr:uid="{B06AAE63-9A91-4AC1-B2A6-C27031063806}"/>
    <cellStyle name="20% - Accent6 9 2 5 2" xfId="8137" xr:uid="{F409C20E-5875-4D10-BA11-D263CF680013}"/>
    <cellStyle name="20% - Accent6 9 2 6" xfId="4808" xr:uid="{EBA3C1B4-7199-447F-997D-09EECE0C6732}"/>
    <cellStyle name="20% - Accent6 9 2 7" xfId="8984" xr:uid="{08711A76-E2F5-4891-8192-95D297F35CA7}"/>
    <cellStyle name="20% - Accent6 9 3" xfId="1085" xr:uid="{384162E0-EAC1-4806-891C-3C5A782CC2A3}"/>
    <cellStyle name="20% - Accent6 9 3 2" xfId="5217" xr:uid="{725DE403-E2B5-4AD6-AAE7-3C8573AD2998}"/>
    <cellStyle name="20% - Accent6 9 4" xfId="1913" xr:uid="{F9FB75D2-0B59-4AE5-BC0D-6BBBB53610E1}"/>
    <cellStyle name="20% - Accent6 9 4 2" xfId="6044" xr:uid="{F75325A1-1FF0-4A12-9CA5-A5E1BD5A9A6E}"/>
    <cellStyle name="20% - Accent6 9 5" xfId="2737" xr:uid="{E617B7D4-F146-41B5-B558-B2FCC83386D6}"/>
    <cellStyle name="20% - Accent6 9 5 2" xfId="6868" xr:uid="{B3F03FC2-8720-42F6-AE8D-BC4BFB950C1B}"/>
    <cellStyle name="20% - Accent6 9 6" xfId="3561" xr:uid="{661ACEF1-2998-4A4C-9BBC-1CE51FACA5A4}"/>
    <cellStyle name="20% - Accent6 9 6 2" xfId="7720" xr:uid="{28C78D4D-E06A-4A14-AF55-E548AF7839E4}"/>
    <cellStyle name="20% - Accent6 9 7" xfId="4391" xr:uid="{2544214F-C949-45A8-8307-205E816B58F2}"/>
    <cellStyle name="20% - Accent6 9 8" xfId="8567" xr:uid="{8606944E-6807-4AF1-B080-4DD2EEF2CCB0}"/>
    <cellStyle name="40% - Accent1" xfId="24" builtinId="31" customBuiltin="1"/>
    <cellStyle name="40% - Accent1 10" xfId="446" xr:uid="{00000000-0005-0000-0000-00007B010000}"/>
    <cellStyle name="40% - Accent1 10 2" xfId="1272" xr:uid="{D8413C6F-923E-44B0-B6BB-38DF07AB68CE}"/>
    <cellStyle name="40% - Accent1 10 2 2" xfId="5404" xr:uid="{9D3E91E3-981D-4259-95F1-7C5507E61B5A}"/>
    <cellStyle name="40% - Accent1 10 3" xfId="2100" xr:uid="{54DFBAF0-F5C6-4B58-B213-5D3B02498257}"/>
    <cellStyle name="40% - Accent1 10 3 2" xfId="6231" xr:uid="{2CC5980B-E2C9-402E-8F3B-7EE844C191CA}"/>
    <cellStyle name="40% - Accent1 10 4" xfId="2924" xr:uid="{40B7512E-4DF1-4AE4-915D-AD9CC3A91C4A}"/>
    <cellStyle name="40% - Accent1 10 4 2" xfId="7055" xr:uid="{76F4499A-5CA7-46FF-8857-DCBAA6E16C9A}"/>
    <cellStyle name="40% - Accent1 10 5" xfId="3748" xr:uid="{A60096B0-40A5-4430-99DF-F25DEE7913F3}"/>
    <cellStyle name="40% - Accent1 10 5 2" xfId="7907" xr:uid="{3DE2D731-7A89-48BC-A454-69E2346DC1CE}"/>
    <cellStyle name="40% - Accent1 10 6" xfId="4578" xr:uid="{10FEDCCA-4CB8-46DA-B40E-20A09DE11760}"/>
    <cellStyle name="40% - Accent1 10 7" xfId="8754" xr:uid="{829B8F1F-79D4-4274-805C-D8E215F59569}"/>
    <cellStyle name="40% - Accent1 11" xfId="459" xr:uid="{00000000-0005-0000-0000-00007C010000}"/>
    <cellStyle name="40% - Accent1 11 2" xfId="1285" xr:uid="{A54ADB72-AD3E-463C-BA15-5B004ACDD0DC}"/>
    <cellStyle name="40% - Accent1 11 2 2" xfId="5417" xr:uid="{54AEF23B-5FEC-4CF6-A152-9D4D5176E6D6}"/>
    <cellStyle name="40% - Accent1 11 3" xfId="2113" xr:uid="{91450EE0-2E74-4653-8CD9-7BAA6C3D8F1A}"/>
    <cellStyle name="40% - Accent1 11 3 2" xfId="6244" xr:uid="{75770854-A654-473F-B915-DE3C3A0D9BAB}"/>
    <cellStyle name="40% - Accent1 11 4" xfId="2937" xr:uid="{AD508592-00BC-4C88-A63D-CAC4BDDE3E2E}"/>
    <cellStyle name="40% - Accent1 11 4 2" xfId="7068" xr:uid="{FB36571A-F82F-45D1-939B-A3CF1F8DE614}"/>
    <cellStyle name="40% - Accent1 11 5" xfId="3761" xr:uid="{37C0F0AA-FF3B-433A-8D55-72914EE7BFF6}"/>
    <cellStyle name="40% - Accent1 11 5 2" xfId="7920" xr:uid="{7C68E465-197C-4B89-B140-F7463FEB0A9E}"/>
    <cellStyle name="40% - Accent1 11 6" xfId="4591" xr:uid="{A58BB96B-BEA4-47C7-BC85-E2E5EC96EF6D}"/>
    <cellStyle name="40% - Accent1 11 7" xfId="8767" xr:uid="{BE70627C-C3B8-4C88-BA87-D5BF697DF6FC}"/>
    <cellStyle name="40% - Accent1 12" xfId="864" xr:uid="{86B62B34-E33D-4E5F-B5B4-66CD5AED9498}"/>
    <cellStyle name="40% - Accent1 12 2" xfId="4996" xr:uid="{E9C64E3A-5245-4927-B5E1-040091FF6F9A}"/>
    <cellStyle name="40% - Accent1 13" xfId="1693" xr:uid="{0CC3B599-F84A-4A77-8B0D-D942C607CE12}"/>
    <cellStyle name="40% - Accent1 13 2" xfId="5824" xr:uid="{2B949548-AC65-4642-A570-7F9E3F978431}"/>
    <cellStyle name="40% - Accent1 14" xfId="2517" xr:uid="{34DEDF8B-18A0-4850-8EE3-DEDB5255ADC8}"/>
    <cellStyle name="40% - Accent1 14 2" xfId="6648" xr:uid="{93344A30-FCE0-4D09-8A11-24C3324A2B15}"/>
    <cellStyle name="40% - Accent1 15" xfId="3341" xr:uid="{79C60823-A902-49F9-8FC9-ADC161D46FA3}"/>
    <cellStyle name="40% - Accent1 15 2" xfId="7500" xr:uid="{E3CFF7CD-AA5F-4628-B350-943557409219}"/>
    <cellStyle name="40% - Accent1 16" xfId="4170" xr:uid="{CAC9315B-4B3D-491A-9909-3C03BAF9A239}"/>
    <cellStyle name="40% - Accent1 17" xfId="8347" xr:uid="{418B401C-63CE-46BC-BB06-A26781B368F4}"/>
    <cellStyle name="40% - Accent1 2" xfId="53" xr:uid="{00000000-0005-0000-0000-00007D010000}"/>
    <cellStyle name="40% - Accent1 2 10" xfId="4185" xr:uid="{963F4C37-7174-4FDF-BA64-9CB6EE0F8E83}"/>
    <cellStyle name="40% - Accent1 2 11" xfId="8361" xr:uid="{D4EA5918-302D-41C1-A676-BA1E94AEF429}"/>
    <cellStyle name="40% - Accent1 2 2" xfId="106" xr:uid="{00000000-0005-0000-0000-00007E010000}"/>
    <cellStyle name="40% - Accent1 2 2 10" xfId="8414" xr:uid="{A31673C4-DB16-453C-BE9D-AC98E09529DA}"/>
    <cellStyle name="40% - Accent1 2 2 2" xfId="211" xr:uid="{00000000-0005-0000-0000-00007F010000}"/>
    <cellStyle name="40% - Accent1 2 2 2 2" xfId="420" xr:uid="{00000000-0005-0000-0000-000080010000}"/>
    <cellStyle name="40% - Accent1 2 2 2 2 2" xfId="837" xr:uid="{00000000-0005-0000-0000-000081010000}"/>
    <cellStyle name="40% - Accent1 2 2 2 2 2 2" xfId="1663" xr:uid="{F9597A28-B8D4-424A-A9AC-1F78DFAA9EC9}"/>
    <cellStyle name="40% - Accent1 2 2 2 2 2 2 2" xfId="5795" xr:uid="{1B9485C9-152B-44D4-81C9-8FF579264BD0}"/>
    <cellStyle name="40% - Accent1 2 2 2 2 2 3" xfId="2491" xr:uid="{74933E35-AE7E-4250-A648-1E50D96130DE}"/>
    <cellStyle name="40% - Accent1 2 2 2 2 2 3 2" xfId="6622" xr:uid="{32896206-4110-404A-9041-602D4347402B}"/>
    <cellStyle name="40% - Accent1 2 2 2 2 2 4" xfId="3315" xr:uid="{DBA9DBAC-9C6B-48A2-8B15-E7C1B908ACBB}"/>
    <cellStyle name="40% - Accent1 2 2 2 2 2 4 2" xfId="7446" xr:uid="{C4E03987-2680-4DFA-80EA-BD99C595FAC7}"/>
    <cellStyle name="40% - Accent1 2 2 2 2 2 5" xfId="4139" xr:uid="{93270DF4-4837-47A3-A213-4C55ED88A7DC}"/>
    <cellStyle name="40% - Accent1 2 2 2 2 2 5 2" xfId="8298" xr:uid="{80B9BE3A-34C8-4F7B-B67B-0F3653000C1C}"/>
    <cellStyle name="40% - Accent1 2 2 2 2 2 6" xfId="4969" xr:uid="{81A39201-A13D-4E2C-84C5-22A7F8B19066}"/>
    <cellStyle name="40% - Accent1 2 2 2 2 2 7" xfId="9145" xr:uid="{33D2EF1B-4194-46A1-AF6C-7B2F96BB78DA}"/>
    <cellStyle name="40% - Accent1 2 2 2 2 3" xfId="1246" xr:uid="{F419E2AE-65AC-448E-9BF6-0025FBC4598B}"/>
    <cellStyle name="40% - Accent1 2 2 2 2 3 2" xfId="5378" xr:uid="{3C04CA60-7E63-4338-83A6-260A13884AA6}"/>
    <cellStyle name="40% - Accent1 2 2 2 2 4" xfId="2074" xr:uid="{23D482DD-4580-44B9-8B71-650A2B1BC547}"/>
    <cellStyle name="40% - Accent1 2 2 2 2 4 2" xfId="6205" xr:uid="{845F9DE6-1AC9-49A4-BCA3-863B4E6C5890}"/>
    <cellStyle name="40% - Accent1 2 2 2 2 5" xfId="2898" xr:uid="{8D4A83B4-7496-46F5-BA41-57A65B1690A0}"/>
    <cellStyle name="40% - Accent1 2 2 2 2 5 2" xfId="7029" xr:uid="{18182BDB-645A-4B7F-B441-8F502E12F9D4}"/>
    <cellStyle name="40% - Accent1 2 2 2 2 6" xfId="3722" xr:uid="{30301B79-B5BD-4338-9480-2D9D0E48511F}"/>
    <cellStyle name="40% - Accent1 2 2 2 2 6 2" xfId="7881" xr:uid="{2592A29E-3AE3-4AC4-90F8-FD88874B790B}"/>
    <cellStyle name="40% - Accent1 2 2 2 2 7" xfId="4552" xr:uid="{0408BB78-2DD4-4D41-A114-DD5DE32E4163}"/>
    <cellStyle name="40% - Accent1 2 2 2 2 8" xfId="8728" xr:uid="{FB1F1780-6E5B-4F4F-AE76-0569E0861EC2}"/>
    <cellStyle name="40% - Accent1 2 2 2 3" xfId="629" xr:uid="{00000000-0005-0000-0000-000082010000}"/>
    <cellStyle name="40% - Accent1 2 2 2 3 2" xfId="1455" xr:uid="{494EB6A9-22DB-4F13-97D3-DF801ECC7042}"/>
    <cellStyle name="40% - Accent1 2 2 2 3 2 2" xfId="5587" xr:uid="{6B143FF3-4C72-49CF-B203-CDE56C535A3F}"/>
    <cellStyle name="40% - Accent1 2 2 2 3 3" xfId="2283" xr:uid="{634F36F8-0D4D-40A9-9AFE-4C918722C54D}"/>
    <cellStyle name="40% - Accent1 2 2 2 3 3 2" xfId="6414" xr:uid="{7C339780-6BEB-4FE1-A679-8DF25AFA30F8}"/>
    <cellStyle name="40% - Accent1 2 2 2 3 4" xfId="3107" xr:uid="{21CD1C91-1453-4E9C-B60D-A289A0FFCAF2}"/>
    <cellStyle name="40% - Accent1 2 2 2 3 4 2" xfId="7238" xr:uid="{EE1E0A04-E803-4DB7-89A2-A80A9BF452FD}"/>
    <cellStyle name="40% - Accent1 2 2 2 3 5" xfId="3931" xr:uid="{C7C5D104-97E2-4B6D-9C1C-9AAE3E3D391B}"/>
    <cellStyle name="40% - Accent1 2 2 2 3 5 2" xfId="8090" xr:uid="{F7EF297D-D25E-471E-A6AA-E97ABB7A2BCB}"/>
    <cellStyle name="40% - Accent1 2 2 2 3 6" xfId="4761" xr:uid="{F151B987-23FC-4A02-A8AA-C1E019F37E61}"/>
    <cellStyle name="40% - Accent1 2 2 2 3 7" xfId="8937" xr:uid="{FE00F991-B1FF-42C4-BD3F-5533EBE23A34}"/>
    <cellStyle name="40% - Accent1 2 2 2 4" xfId="1037" xr:uid="{BDD5AD26-A024-420C-8CA4-1FCCB4A75550}"/>
    <cellStyle name="40% - Accent1 2 2 2 4 2" xfId="5169" xr:uid="{A31E35A8-DE54-450D-8B89-D954BE3AEDFB}"/>
    <cellStyle name="40% - Accent1 2 2 2 5" xfId="1865" xr:uid="{2A10AC36-3407-4268-AF6B-FB27D6174BE0}"/>
    <cellStyle name="40% - Accent1 2 2 2 5 2" xfId="5996" xr:uid="{F0F866C1-02EE-4788-8592-75852C2A3E10}"/>
    <cellStyle name="40% - Accent1 2 2 2 6" xfId="2689" xr:uid="{26D51291-E889-46AD-9787-BDE81C65BD91}"/>
    <cellStyle name="40% - Accent1 2 2 2 6 2" xfId="6820" xr:uid="{A796B3F9-DDB1-4850-A1CD-DA21AC44F59B}"/>
    <cellStyle name="40% - Accent1 2 2 2 7" xfId="3513" xr:uid="{5E541AAB-A97D-4645-B48B-FDA2B55CBAD7}"/>
    <cellStyle name="40% - Accent1 2 2 2 7 2" xfId="7672" xr:uid="{4788A31C-3C5A-4ACC-ABA1-029309B5DD5C}"/>
    <cellStyle name="40% - Accent1 2 2 2 8" xfId="4343" xr:uid="{212E7C9D-7A37-4FE5-99CF-9434B0305C57}"/>
    <cellStyle name="40% - Accent1 2 2 2 9" xfId="8519" xr:uid="{8A37B0E2-D127-4610-A5A7-868CE007C16B}"/>
    <cellStyle name="40% - Accent1 2 2 3" xfId="316" xr:uid="{00000000-0005-0000-0000-000083010000}"/>
    <cellStyle name="40% - Accent1 2 2 3 2" xfId="733" xr:uid="{00000000-0005-0000-0000-000084010000}"/>
    <cellStyle name="40% - Accent1 2 2 3 2 2" xfId="1559" xr:uid="{0DCCAA5E-7B01-4A2B-BFDD-407DD6153E74}"/>
    <cellStyle name="40% - Accent1 2 2 3 2 2 2" xfId="5691" xr:uid="{638F1BD9-9B8E-4D25-BC25-8F25F90AAF75}"/>
    <cellStyle name="40% - Accent1 2 2 3 2 3" xfId="2387" xr:uid="{D8E20A15-3D7B-4A7E-9562-13AF74ED51A9}"/>
    <cellStyle name="40% - Accent1 2 2 3 2 3 2" xfId="6518" xr:uid="{29A3BAE4-CC44-41BE-9B83-C4BC5FB4AF6F}"/>
    <cellStyle name="40% - Accent1 2 2 3 2 4" xfId="3211" xr:uid="{68FA0FEB-3A9C-41C8-B9E2-3BB9E101B7E1}"/>
    <cellStyle name="40% - Accent1 2 2 3 2 4 2" xfId="7342" xr:uid="{1B47BAE0-FAE0-481C-B8B5-17AD807A4883}"/>
    <cellStyle name="40% - Accent1 2 2 3 2 5" xfId="4035" xr:uid="{56674B20-0422-4A24-BF50-9887D4489621}"/>
    <cellStyle name="40% - Accent1 2 2 3 2 5 2" xfId="8194" xr:uid="{23F39606-66C7-430C-93C9-36C7A9657860}"/>
    <cellStyle name="40% - Accent1 2 2 3 2 6" xfId="4865" xr:uid="{A26A4622-6A9C-4A82-9864-75AB70830D5C}"/>
    <cellStyle name="40% - Accent1 2 2 3 2 7" xfId="9041" xr:uid="{64E20259-3F65-4EE0-9688-7DF3904C1606}"/>
    <cellStyle name="40% - Accent1 2 2 3 3" xfId="1142" xr:uid="{B326B850-D786-42AC-B844-7A4F3266F238}"/>
    <cellStyle name="40% - Accent1 2 2 3 3 2" xfId="5274" xr:uid="{AE3A8211-FB89-4DDF-8C5E-F1B24BFF5CF7}"/>
    <cellStyle name="40% - Accent1 2 2 3 4" xfId="1970" xr:uid="{A73E92C0-D61A-45CC-8919-F813AA351BD8}"/>
    <cellStyle name="40% - Accent1 2 2 3 4 2" xfId="6101" xr:uid="{04599857-6B20-4168-AB74-C35969972C2C}"/>
    <cellStyle name="40% - Accent1 2 2 3 5" xfId="2794" xr:uid="{C2392DC7-65B6-4A77-8A35-CE571F010C59}"/>
    <cellStyle name="40% - Accent1 2 2 3 5 2" xfId="6925" xr:uid="{25FDDD07-3A51-4023-AD87-AEA9FD3994BE}"/>
    <cellStyle name="40% - Accent1 2 2 3 6" xfId="3618" xr:uid="{17544FE0-A73E-412A-A831-7108579E88CC}"/>
    <cellStyle name="40% - Accent1 2 2 3 6 2" xfId="7777" xr:uid="{C3DDA415-D03D-4BA4-818D-015437DBB8ED}"/>
    <cellStyle name="40% - Accent1 2 2 3 7" xfId="4448" xr:uid="{C7DF5876-940E-40E6-BDF5-96775D756933}"/>
    <cellStyle name="40% - Accent1 2 2 3 8" xfId="8624" xr:uid="{834D46B3-0C71-4BAD-835F-C965D1471A08}"/>
    <cellStyle name="40% - Accent1 2 2 4" xfId="525" xr:uid="{00000000-0005-0000-0000-000085010000}"/>
    <cellStyle name="40% - Accent1 2 2 4 2" xfId="1351" xr:uid="{58EB329A-A9A7-4030-BD01-A5C088083C62}"/>
    <cellStyle name="40% - Accent1 2 2 4 2 2" xfId="5483" xr:uid="{566B340D-16AB-4F0A-9E8F-555E05B4AD9F}"/>
    <cellStyle name="40% - Accent1 2 2 4 3" xfId="2179" xr:uid="{63FA2712-BCF9-423F-8DB4-6C41EC53C205}"/>
    <cellStyle name="40% - Accent1 2 2 4 3 2" xfId="6310" xr:uid="{EE484DC2-8828-4015-B7B8-C5C4FBDDA2C7}"/>
    <cellStyle name="40% - Accent1 2 2 4 4" xfId="3003" xr:uid="{F2ADA310-7C28-4AED-A6E3-80EE568F3B39}"/>
    <cellStyle name="40% - Accent1 2 2 4 4 2" xfId="7134" xr:uid="{1AF5CD9E-196E-421A-80E5-D811D57D928D}"/>
    <cellStyle name="40% - Accent1 2 2 4 5" xfId="3827" xr:uid="{70D51F98-304D-409A-8DB8-D57A61919328}"/>
    <cellStyle name="40% - Accent1 2 2 4 5 2" xfId="7986" xr:uid="{1AFEA500-2F5D-436C-89DB-546FE71DDEE6}"/>
    <cellStyle name="40% - Accent1 2 2 4 6" xfId="4657" xr:uid="{16A08E26-7343-438C-960C-1D9BB7D8B86D}"/>
    <cellStyle name="40% - Accent1 2 2 4 7" xfId="8833" xr:uid="{F32120FC-8A25-478E-AE4F-8561E420B3D9}"/>
    <cellStyle name="40% - Accent1 2 2 5" xfId="932" xr:uid="{C3FE3C06-CB22-4682-9D97-30D5BE2464DA}"/>
    <cellStyle name="40% - Accent1 2 2 5 2" xfId="5064" xr:uid="{BB741B43-E529-4792-9EC5-F001A473A234}"/>
    <cellStyle name="40% - Accent1 2 2 6" xfId="1760" xr:uid="{9CB706AC-1E83-459E-839D-97B46EA15679}"/>
    <cellStyle name="40% - Accent1 2 2 6 2" xfId="5891" xr:uid="{28FC65D6-7B51-4E74-9CD7-7D8B83EEBFCB}"/>
    <cellStyle name="40% - Accent1 2 2 7" xfId="2584" xr:uid="{F186C6A5-52E5-4636-968E-30D7FF86593E}"/>
    <cellStyle name="40% - Accent1 2 2 7 2" xfId="6715" xr:uid="{567C86F8-2AF1-42C1-B8B7-5CBDC4E98869}"/>
    <cellStyle name="40% - Accent1 2 2 8" xfId="3408" xr:uid="{E37FD2EC-1AEC-4D20-B878-769D77675CD1}"/>
    <cellStyle name="40% - Accent1 2 2 8 2" xfId="7567" xr:uid="{992DBB49-54D2-4A1D-8D23-D9CBE34ED690}"/>
    <cellStyle name="40% - Accent1 2 2 9" xfId="4238" xr:uid="{CDD4BE5A-9D85-407C-9196-CF4827A4863A}"/>
    <cellStyle name="40% - Accent1 2 3" xfId="159" xr:uid="{00000000-0005-0000-0000-000086010000}"/>
    <cellStyle name="40% - Accent1 2 3 2" xfId="368" xr:uid="{00000000-0005-0000-0000-000087010000}"/>
    <cellStyle name="40% - Accent1 2 3 2 2" xfId="785" xr:uid="{00000000-0005-0000-0000-000088010000}"/>
    <cellStyle name="40% - Accent1 2 3 2 2 2" xfId="1611" xr:uid="{FF05BAA0-7D99-4EBE-BD44-9996402C5F96}"/>
    <cellStyle name="40% - Accent1 2 3 2 2 2 2" xfId="5743" xr:uid="{03EE7B6C-F2E0-48FE-BCEA-1C4064131789}"/>
    <cellStyle name="40% - Accent1 2 3 2 2 3" xfId="2439" xr:uid="{8A0F66F3-409B-4ED9-9A57-663CDB63A238}"/>
    <cellStyle name="40% - Accent1 2 3 2 2 3 2" xfId="6570" xr:uid="{A5BA0E38-948E-4EDE-A9FC-E7F8C0474971}"/>
    <cellStyle name="40% - Accent1 2 3 2 2 4" xfId="3263" xr:uid="{66250526-17CB-4053-B15F-028EF0D23B96}"/>
    <cellStyle name="40% - Accent1 2 3 2 2 4 2" xfId="7394" xr:uid="{D1FF6324-0718-4C41-A724-DDB0660F3582}"/>
    <cellStyle name="40% - Accent1 2 3 2 2 5" xfId="4087" xr:uid="{95644C5E-60B6-4477-8E10-88A17F75B051}"/>
    <cellStyle name="40% - Accent1 2 3 2 2 5 2" xfId="8246" xr:uid="{00C96620-A53B-439E-BD93-25C518B897DE}"/>
    <cellStyle name="40% - Accent1 2 3 2 2 6" xfId="4917" xr:uid="{C227A0EA-FFA5-4726-9886-39F6BD060B07}"/>
    <cellStyle name="40% - Accent1 2 3 2 2 7" xfId="9093" xr:uid="{E6F36491-3A58-4291-8192-1EC3DC8FF160}"/>
    <cellStyle name="40% - Accent1 2 3 2 3" xfId="1194" xr:uid="{1629787C-0E0D-42BF-B281-01A979E1FB2D}"/>
    <cellStyle name="40% - Accent1 2 3 2 3 2" xfId="5326" xr:uid="{554C96C1-A7A5-4264-8F35-8E2BA1185121}"/>
    <cellStyle name="40% - Accent1 2 3 2 4" xfId="2022" xr:uid="{9827515C-9C3E-405E-98F5-EE93B808BDDA}"/>
    <cellStyle name="40% - Accent1 2 3 2 4 2" xfId="6153" xr:uid="{1029427A-1C6C-4F03-94DD-F3D0AC9156F1}"/>
    <cellStyle name="40% - Accent1 2 3 2 5" xfId="2846" xr:uid="{B9B38543-6CF2-4C3C-8FCE-5305DFF50545}"/>
    <cellStyle name="40% - Accent1 2 3 2 5 2" xfId="6977" xr:uid="{26A939FA-4753-4BF7-AE87-466134199505}"/>
    <cellStyle name="40% - Accent1 2 3 2 6" xfId="3670" xr:uid="{DCA8200D-DD9A-4197-A873-1DC0A63FA413}"/>
    <cellStyle name="40% - Accent1 2 3 2 6 2" xfId="7829" xr:uid="{6D879C92-0AD3-464C-A7D5-3BA56FFB90B8}"/>
    <cellStyle name="40% - Accent1 2 3 2 7" xfId="4500" xr:uid="{0186B192-9A1F-4111-84B2-A133D697FBF2}"/>
    <cellStyle name="40% - Accent1 2 3 2 8" xfId="8676" xr:uid="{442542E6-950F-42B2-9CF2-EDBD5C3EC56E}"/>
    <cellStyle name="40% - Accent1 2 3 3" xfId="577" xr:uid="{00000000-0005-0000-0000-000089010000}"/>
    <cellStyle name="40% - Accent1 2 3 3 2" xfId="1403" xr:uid="{7ECADD70-6C57-4BFA-A7A5-539D4FD7AAE6}"/>
    <cellStyle name="40% - Accent1 2 3 3 2 2" xfId="5535" xr:uid="{AB893DB0-2DC8-40CB-B6D1-1B4B44A94783}"/>
    <cellStyle name="40% - Accent1 2 3 3 3" xfId="2231" xr:uid="{801578A7-1100-4CDF-9A9C-DA8DF17E0A4D}"/>
    <cellStyle name="40% - Accent1 2 3 3 3 2" xfId="6362" xr:uid="{C6C10986-1F63-4780-8D8D-DBBC3F6D87B6}"/>
    <cellStyle name="40% - Accent1 2 3 3 4" xfId="3055" xr:uid="{53AA9093-E2C4-4ED0-8E35-9472BB6654DF}"/>
    <cellStyle name="40% - Accent1 2 3 3 4 2" xfId="7186" xr:uid="{C9A15890-9EEB-4E50-A067-DC7A81EC8DDB}"/>
    <cellStyle name="40% - Accent1 2 3 3 5" xfId="3879" xr:uid="{3257F8D0-4F91-4A88-B00F-4BDB60FBEFCD}"/>
    <cellStyle name="40% - Accent1 2 3 3 5 2" xfId="8038" xr:uid="{E00683E2-EC35-4364-B1DD-0C9DBE94DB46}"/>
    <cellStyle name="40% - Accent1 2 3 3 6" xfId="4709" xr:uid="{F9C47839-8B11-47CD-9C44-8D364AF77A3A}"/>
    <cellStyle name="40% - Accent1 2 3 3 7" xfId="8885" xr:uid="{003B85E3-7A8D-4849-BE5F-03D6C3EE2F0F}"/>
    <cellStyle name="40% - Accent1 2 3 4" xfId="985" xr:uid="{D52E8D9B-51E3-493D-A5E5-8B1FFEFAA50C}"/>
    <cellStyle name="40% - Accent1 2 3 4 2" xfId="5117" xr:uid="{89D0E5AF-1535-4930-BE47-FCE406DFD526}"/>
    <cellStyle name="40% - Accent1 2 3 5" xfId="1813" xr:uid="{9F0C228F-403F-4B24-89D0-185DF0E375D0}"/>
    <cellStyle name="40% - Accent1 2 3 5 2" xfId="5944" xr:uid="{723A7EE6-D42C-4BC1-BF56-5995222BC9AE}"/>
    <cellStyle name="40% - Accent1 2 3 6" xfId="2637" xr:uid="{EAC10FDA-EC08-4AE3-B566-BE0467E3F5C6}"/>
    <cellStyle name="40% - Accent1 2 3 6 2" xfId="6768" xr:uid="{4ACB9E65-119C-4B32-88C3-636D87174D14}"/>
    <cellStyle name="40% - Accent1 2 3 7" xfId="3461" xr:uid="{264FA8A6-6ABF-44BE-BBA5-16F6971A770C}"/>
    <cellStyle name="40% - Accent1 2 3 7 2" xfId="7620" xr:uid="{2EC18E0F-0C4D-4220-BE42-770A1F623D9F}"/>
    <cellStyle name="40% - Accent1 2 3 8" xfId="4291" xr:uid="{39AE258A-9E7C-47ED-8108-83CD89267916}"/>
    <cellStyle name="40% - Accent1 2 3 9" xfId="8467" xr:uid="{A5A13BF0-29FA-4A0B-9D47-617AFD066261}"/>
    <cellStyle name="40% - Accent1 2 4" xfId="264" xr:uid="{00000000-0005-0000-0000-00008A010000}"/>
    <cellStyle name="40% - Accent1 2 4 2" xfId="681" xr:uid="{00000000-0005-0000-0000-00008B010000}"/>
    <cellStyle name="40% - Accent1 2 4 2 2" xfId="1507" xr:uid="{ECBBE3AC-120E-4550-98E5-4D20BF1ECF6F}"/>
    <cellStyle name="40% - Accent1 2 4 2 2 2" xfId="5639" xr:uid="{5C95F8DC-955A-45CB-9399-9E4BAC9CE299}"/>
    <cellStyle name="40% - Accent1 2 4 2 3" xfId="2335" xr:uid="{CA5D181A-BAB3-424B-AFDF-E839F27C2807}"/>
    <cellStyle name="40% - Accent1 2 4 2 3 2" xfId="6466" xr:uid="{D3E3F0AD-C2B0-43A5-B785-BFEE6F6785D0}"/>
    <cellStyle name="40% - Accent1 2 4 2 4" xfId="3159" xr:uid="{F0671B6D-A025-4542-8542-504A4C48BFE2}"/>
    <cellStyle name="40% - Accent1 2 4 2 4 2" xfId="7290" xr:uid="{AF133940-9D89-4F77-99EB-9D8D33907292}"/>
    <cellStyle name="40% - Accent1 2 4 2 5" xfId="3983" xr:uid="{86B9F6F4-5E96-41D7-8F4F-A75B50E770F0}"/>
    <cellStyle name="40% - Accent1 2 4 2 5 2" xfId="8142" xr:uid="{8533BBB2-41B3-4739-8010-E8F649AF957D}"/>
    <cellStyle name="40% - Accent1 2 4 2 6" xfId="4813" xr:uid="{0336AF49-95F3-4434-B920-83944CD63D68}"/>
    <cellStyle name="40% - Accent1 2 4 2 7" xfId="8989" xr:uid="{DF574B42-2769-4312-8F93-7D76216C3615}"/>
    <cellStyle name="40% - Accent1 2 4 3" xfId="1090" xr:uid="{C8C86EDE-1B0D-4570-BF9F-530E45873473}"/>
    <cellStyle name="40% - Accent1 2 4 3 2" xfId="5222" xr:uid="{1FA4FAC7-9A7F-4BFE-8E2B-E60440008EFE}"/>
    <cellStyle name="40% - Accent1 2 4 4" xfId="1918" xr:uid="{A164747E-EE3E-44C3-95D5-A826693C2F30}"/>
    <cellStyle name="40% - Accent1 2 4 4 2" xfId="6049" xr:uid="{2B8BDA7C-80BD-4D4B-B086-F65AF521797A}"/>
    <cellStyle name="40% - Accent1 2 4 5" xfId="2742" xr:uid="{92B69C56-29B9-4040-9619-BC1A5E1C6563}"/>
    <cellStyle name="40% - Accent1 2 4 5 2" xfId="6873" xr:uid="{1DB01066-AC78-495D-9497-B77B0E91B756}"/>
    <cellStyle name="40% - Accent1 2 4 6" xfId="3566" xr:uid="{AFC899D1-3E8F-4EEE-AA4C-F7F9B67DCE02}"/>
    <cellStyle name="40% - Accent1 2 4 6 2" xfId="7725" xr:uid="{B026CC67-0B8A-4E93-98C9-98A7CA6F2FF7}"/>
    <cellStyle name="40% - Accent1 2 4 7" xfId="4396" xr:uid="{106682F9-3E95-47B6-A8B9-FB65F49440CE}"/>
    <cellStyle name="40% - Accent1 2 4 8" xfId="8572" xr:uid="{CB30D804-C912-47F5-A6C5-481CBEC8171C}"/>
    <cellStyle name="40% - Accent1 2 5" xfId="473" xr:uid="{00000000-0005-0000-0000-00008C010000}"/>
    <cellStyle name="40% - Accent1 2 5 2" xfId="1299" xr:uid="{671E7906-BBBC-42A8-8EC4-E7DC67034714}"/>
    <cellStyle name="40% - Accent1 2 5 2 2" xfId="5431" xr:uid="{CF0746FE-3B85-41D6-98AC-14B039DAE67C}"/>
    <cellStyle name="40% - Accent1 2 5 3" xfId="2127" xr:uid="{1F885675-A2E7-4C7F-8C45-FDC1477ECAE2}"/>
    <cellStyle name="40% - Accent1 2 5 3 2" xfId="6258" xr:uid="{B127175F-7CC8-4560-BD5E-BA734AD95877}"/>
    <cellStyle name="40% - Accent1 2 5 4" xfId="2951" xr:uid="{230904FB-986A-4AF6-A4D3-A8FC3734A7A3}"/>
    <cellStyle name="40% - Accent1 2 5 4 2" xfId="7082" xr:uid="{86A0008E-4187-4B3D-AE60-A938152BDE19}"/>
    <cellStyle name="40% - Accent1 2 5 5" xfId="3775" xr:uid="{69EBE695-71D3-4912-B8A3-E267149ACA76}"/>
    <cellStyle name="40% - Accent1 2 5 5 2" xfId="7934" xr:uid="{BD9B8811-47E5-4181-B077-5CC205DBCE3D}"/>
    <cellStyle name="40% - Accent1 2 5 6" xfId="4605" xr:uid="{3CBE5644-4DC2-4DA7-A0DE-5A948F978E23}"/>
    <cellStyle name="40% - Accent1 2 5 7" xfId="8781" xr:uid="{3C0E6E81-3D38-44C4-9257-9F717DA53B66}"/>
    <cellStyle name="40% - Accent1 2 6" xfId="879" xr:uid="{133DD3C1-3F9B-427D-A869-F005791C14B4}"/>
    <cellStyle name="40% - Accent1 2 6 2" xfId="5011" xr:uid="{8D717182-5328-4344-B45E-4857BEBE312C}"/>
    <cellStyle name="40% - Accent1 2 7" xfId="1707" xr:uid="{B997163F-DD6D-41AE-A0F6-8A3FCAB683E5}"/>
    <cellStyle name="40% - Accent1 2 7 2" xfId="5838" xr:uid="{BA82ED5F-A148-4CF0-9B5D-25FA0CC50C94}"/>
    <cellStyle name="40% - Accent1 2 8" xfId="2531" xr:uid="{13BE3876-8D80-4D41-BC86-954675E9DBB3}"/>
    <cellStyle name="40% - Accent1 2 8 2" xfId="6662" xr:uid="{E39A3413-C54E-4176-8488-A6DF8B9BE54D}"/>
    <cellStyle name="40% - Accent1 2 9" xfId="3355" xr:uid="{290DEBA0-5CB4-4407-A196-28E0E55D4C06}"/>
    <cellStyle name="40% - Accent1 2 9 2" xfId="7514" xr:uid="{0E005534-1729-4D54-A28E-D1C9C01B7C66}"/>
    <cellStyle name="40% - Accent1 3" xfId="66" xr:uid="{00000000-0005-0000-0000-00008D010000}"/>
    <cellStyle name="40% - Accent1 3 10" xfId="4198" xr:uid="{039E6154-FA14-440B-A4A3-7DA97F1CE268}"/>
    <cellStyle name="40% - Accent1 3 11" xfId="8374" xr:uid="{3348C2F0-D53C-4C58-8D80-08E20495353A}"/>
    <cellStyle name="40% - Accent1 3 2" xfId="119" xr:uid="{00000000-0005-0000-0000-00008E010000}"/>
    <cellStyle name="40% - Accent1 3 2 10" xfId="8427" xr:uid="{2E8C52FE-88D6-4357-B2C8-62E5E96C02ED}"/>
    <cellStyle name="40% - Accent1 3 2 2" xfId="224" xr:uid="{00000000-0005-0000-0000-00008F010000}"/>
    <cellStyle name="40% - Accent1 3 2 2 2" xfId="433" xr:uid="{00000000-0005-0000-0000-000090010000}"/>
    <cellStyle name="40% - Accent1 3 2 2 2 2" xfId="850" xr:uid="{00000000-0005-0000-0000-000091010000}"/>
    <cellStyle name="40% - Accent1 3 2 2 2 2 2" xfId="1676" xr:uid="{E3F9FF4C-0DCC-4935-B55F-B62742C0562C}"/>
    <cellStyle name="40% - Accent1 3 2 2 2 2 2 2" xfId="5808" xr:uid="{F9EDB391-A2E3-4DF5-BCEC-0648F7D9B161}"/>
    <cellStyle name="40% - Accent1 3 2 2 2 2 3" xfId="2504" xr:uid="{D2CEDA0F-1D4C-4599-AE35-7B36866446D9}"/>
    <cellStyle name="40% - Accent1 3 2 2 2 2 3 2" xfId="6635" xr:uid="{BF2B02DE-41B7-4DEE-8C62-BBF26E842F51}"/>
    <cellStyle name="40% - Accent1 3 2 2 2 2 4" xfId="3328" xr:uid="{C32A65AA-14B8-4625-B1DE-BD6169110512}"/>
    <cellStyle name="40% - Accent1 3 2 2 2 2 4 2" xfId="7459" xr:uid="{77180148-73FE-4484-9D18-9F8965567CD2}"/>
    <cellStyle name="40% - Accent1 3 2 2 2 2 5" xfId="4152" xr:uid="{7BBB41B6-2963-4F71-BA35-B96326F8A5E5}"/>
    <cellStyle name="40% - Accent1 3 2 2 2 2 5 2" xfId="8311" xr:uid="{FA7624EB-4318-437D-9F2E-2AA888FBC11E}"/>
    <cellStyle name="40% - Accent1 3 2 2 2 2 6" xfId="4982" xr:uid="{321F71A1-50DC-4A73-AB3B-F7EE79FC351D}"/>
    <cellStyle name="40% - Accent1 3 2 2 2 2 7" xfId="9158" xr:uid="{DF6CC0BE-82A5-4BE0-9283-FE3BDF403812}"/>
    <cellStyle name="40% - Accent1 3 2 2 2 3" xfId="1259" xr:uid="{C95D1692-99E9-4CD1-AE8D-DD05180729E8}"/>
    <cellStyle name="40% - Accent1 3 2 2 2 3 2" xfId="5391" xr:uid="{BC90AE9B-26D5-43F9-B3A1-231CB634E0F2}"/>
    <cellStyle name="40% - Accent1 3 2 2 2 4" xfId="2087" xr:uid="{A478A9F4-9F79-4DC6-8748-31586AE7A76B}"/>
    <cellStyle name="40% - Accent1 3 2 2 2 4 2" xfId="6218" xr:uid="{2C25BBBB-A20C-4F09-A522-5AAEA53B8926}"/>
    <cellStyle name="40% - Accent1 3 2 2 2 5" xfId="2911" xr:uid="{7BCC40EB-A089-488F-B5BA-F68167928D73}"/>
    <cellStyle name="40% - Accent1 3 2 2 2 5 2" xfId="7042" xr:uid="{FD14A735-D619-4841-99EC-C6794C2954F9}"/>
    <cellStyle name="40% - Accent1 3 2 2 2 6" xfId="3735" xr:uid="{F563BA05-A146-4D8D-BF3F-843E46F423FE}"/>
    <cellStyle name="40% - Accent1 3 2 2 2 6 2" xfId="7894" xr:uid="{6354E4F5-C686-49B0-9870-0E434BBDA26E}"/>
    <cellStyle name="40% - Accent1 3 2 2 2 7" xfId="4565" xr:uid="{DEDF2220-4037-49DE-BBE6-3FFD8A9AADB5}"/>
    <cellStyle name="40% - Accent1 3 2 2 2 8" xfId="8741" xr:uid="{B8DA5466-71A0-47A3-9E13-3457AB6C3309}"/>
    <cellStyle name="40% - Accent1 3 2 2 3" xfId="642" xr:uid="{00000000-0005-0000-0000-000092010000}"/>
    <cellStyle name="40% - Accent1 3 2 2 3 2" xfId="1468" xr:uid="{CED77ACF-1341-4522-8454-516ABE59023C}"/>
    <cellStyle name="40% - Accent1 3 2 2 3 2 2" xfId="5600" xr:uid="{FA4D5A26-1192-420D-B5F4-23246100D469}"/>
    <cellStyle name="40% - Accent1 3 2 2 3 3" xfId="2296" xr:uid="{71680E02-2F77-4A01-A4AD-FC1C4FD1A5B6}"/>
    <cellStyle name="40% - Accent1 3 2 2 3 3 2" xfId="6427" xr:uid="{C6D09B1B-CE87-49C8-8B7E-E0544C9A041C}"/>
    <cellStyle name="40% - Accent1 3 2 2 3 4" xfId="3120" xr:uid="{49E0BA80-BBF2-4525-8023-EF3E3826F384}"/>
    <cellStyle name="40% - Accent1 3 2 2 3 4 2" xfId="7251" xr:uid="{6F7598D4-96C2-4DA7-91CB-A7CB18E85884}"/>
    <cellStyle name="40% - Accent1 3 2 2 3 5" xfId="3944" xr:uid="{F03D97E4-B762-45E6-9368-04DC408CD545}"/>
    <cellStyle name="40% - Accent1 3 2 2 3 5 2" xfId="8103" xr:uid="{706B5702-CAD8-4CDC-A3E7-181F6BB9BFFC}"/>
    <cellStyle name="40% - Accent1 3 2 2 3 6" xfId="4774" xr:uid="{2DB0F42E-22F9-4BD9-BF5B-EBD8F5BB4E4B}"/>
    <cellStyle name="40% - Accent1 3 2 2 3 7" xfId="8950" xr:uid="{A2EE6C7B-B26F-4BC2-911F-D387698FC8DB}"/>
    <cellStyle name="40% - Accent1 3 2 2 4" xfId="1050" xr:uid="{9D517245-6A88-4160-9BC8-BA28FE49C7DA}"/>
    <cellStyle name="40% - Accent1 3 2 2 4 2" xfId="5182" xr:uid="{C60A1393-8684-4744-9B1A-97AE0694AF6C}"/>
    <cellStyle name="40% - Accent1 3 2 2 5" xfId="1878" xr:uid="{84AA6129-165E-460F-A4EA-4D7004FE81B8}"/>
    <cellStyle name="40% - Accent1 3 2 2 5 2" xfId="6009" xr:uid="{487E24B4-FBD0-4451-BAAF-8301EC712BA1}"/>
    <cellStyle name="40% - Accent1 3 2 2 6" xfId="2702" xr:uid="{D09645FA-B836-45CA-A20E-566D2AFF32C2}"/>
    <cellStyle name="40% - Accent1 3 2 2 6 2" xfId="6833" xr:uid="{D063C7BF-0644-4990-8130-7D7FB261E94F}"/>
    <cellStyle name="40% - Accent1 3 2 2 7" xfId="3526" xr:uid="{05754AC6-1524-4AF3-81FB-95B816668B4C}"/>
    <cellStyle name="40% - Accent1 3 2 2 7 2" xfId="7685" xr:uid="{65C32D64-F56F-4CCF-A435-83587F06DB2C}"/>
    <cellStyle name="40% - Accent1 3 2 2 8" xfId="4356" xr:uid="{B1BDB9DA-D6EB-448B-AFB7-BB45B14270AC}"/>
    <cellStyle name="40% - Accent1 3 2 2 9" xfId="8532" xr:uid="{B0864EF7-54B9-4742-BF20-5BBB9717CDB5}"/>
    <cellStyle name="40% - Accent1 3 2 3" xfId="329" xr:uid="{00000000-0005-0000-0000-000093010000}"/>
    <cellStyle name="40% - Accent1 3 2 3 2" xfId="746" xr:uid="{00000000-0005-0000-0000-000094010000}"/>
    <cellStyle name="40% - Accent1 3 2 3 2 2" xfId="1572" xr:uid="{372B5871-591F-49E3-B3D4-C2AD03EBB950}"/>
    <cellStyle name="40% - Accent1 3 2 3 2 2 2" xfId="5704" xr:uid="{73DE4551-8F02-4A9F-9948-9077CAAEA526}"/>
    <cellStyle name="40% - Accent1 3 2 3 2 3" xfId="2400" xr:uid="{BA0FA31E-35CA-4935-BAFC-AA1E9B9F7882}"/>
    <cellStyle name="40% - Accent1 3 2 3 2 3 2" xfId="6531" xr:uid="{27E855C9-0B96-4C84-A1B1-FA2F9A55362E}"/>
    <cellStyle name="40% - Accent1 3 2 3 2 4" xfId="3224" xr:uid="{78C9380D-A283-42C6-B114-605B12AB30F1}"/>
    <cellStyle name="40% - Accent1 3 2 3 2 4 2" xfId="7355" xr:uid="{52FC52FA-003F-4060-861F-8E6A6F778119}"/>
    <cellStyle name="40% - Accent1 3 2 3 2 5" xfId="4048" xr:uid="{A9A4E62B-7B11-4AA5-B36D-BAF216495784}"/>
    <cellStyle name="40% - Accent1 3 2 3 2 5 2" xfId="8207" xr:uid="{43056EAF-C381-4403-B28B-F5AC5B21697E}"/>
    <cellStyle name="40% - Accent1 3 2 3 2 6" xfId="4878" xr:uid="{AD0073B7-E4AB-4732-A0E9-2C419943CBAF}"/>
    <cellStyle name="40% - Accent1 3 2 3 2 7" xfId="9054" xr:uid="{00C4F3E0-E91D-4AE2-9CBE-401EE640C810}"/>
    <cellStyle name="40% - Accent1 3 2 3 3" xfId="1155" xr:uid="{E2D1DB81-6095-4CFC-8219-44A6CFF613D2}"/>
    <cellStyle name="40% - Accent1 3 2 3 3 2" xfId="5287" xr:uid="{8FCA8E2D-CE13-4F1B-B054-A4FFB2109547}"/>
    <cellStyle name="40% - Accent1 3 2 3 4" xfId="1983" xr:uid="{7345B61E-E3E0-4F9E-83B8-91F32AE9C667}"/>
    <cellStyle name="40% - Accent1 3 2 3 4 2" xfId="6114" xr:uid="{5E487D2B-6937-4FA1-9709-0C43DF759C47}"/>
    <cellStyle name="40% - Accent1 3 2 3 5" xfId="2807" xr:uid="{9D58F5C1-D747-4D7B-BEA2-3954CBBCCDD5}"/>
    <cellStyle name="40% - Accent1 3 2 3 5 2" xfId="6938" xr:uid="{8EC80AFA-4BA8-48AF-8EAD-E6FED122D996}"/>
    <cellStyle name="40% - Accent1 3 2 3 6" xfId="3631" xr:uid="{74852563-DA2C-43CA-AC31-F34473AAEFC4}"/>
    <cellStyle name="40% - Accent1 3 2 3 6 2" xfId="7790" xr:uid="{3FBEFDA3-7106-4DFC-B895-F1075542C8C3}"/>
    <cellStyle name="40% - Accent1 3 2 3 7" xfId="4461" xr:uid="{6D83C2BB-4B4E-4F9C-84AA-9BBF7319C230}"/>
    <cellStyle name="40% - Accent1 3 2 3 8" xfId="8637" xr:uid="{C25EFF5C-1A2C-49E0-AFCC-8E543A30C7FA}"/>
    <cellStyle name="40% - Accent1 3 2 4" xfId="538" xr:uid="{00000000-0005-0000-0000-000095010000}"/>
    <cellStyle name="40% - Accent1 3 2 4 2" xfId="1364" xr:uid="{EB02FFF4-9B6F-42D5-8C08-258F5293C08A}"/>
    <cellStyle name="40% - Accent1 3 2 4 2 2" xfId="5496" xr:uid="{56BAE737-C632-4211-A1D9-6344F5EA9931}"/>
    <cellStyle name="40% - Accent1 3 2 4 3" xfId="2192" xr:uid="{C7236976-0691-4F7D-9CBA-14B37AE382FD}"/>
    <cellStyle name="40% - Accent1 3 2 4 3 2" xfId="6323" xr:uid="{290B08D7-40AE-4517-86B7-99D010F6683B}"/>
    <cellStyle name="40% - Accent1 3 2 4 4" xfId="3016" xr:uid="{7F6D188E-EEC7-4E34-ABC9-42B242E8047E}"/>
    <cellStyle name="40% - Accent1 3 2 4 4 2" xfId="7147" xr:uid="{E9EFBF3B-81BF-496C-A2D9-819D0FFDE0D1}"/>
    <cellStyle name="40% - Accent1 3 2 4 5" xfId="3840" xr:uid="{2AA35D1C-A01B-4B09-ACB2-EE4CDCFE9E09}"/>
    <cellStyle name="40% - Accent1 3 2 4 5 2" xfId="7999" xr:uid="{943D6C83-146F-4A33-808A-7A38A3A96B27}"/>
    <cellStyle name="40% - Accent1 3 2 4 6" xfId="4670" xr:uid="{60706AB4-B143-4D8B-99CE-87C149AE1208}"/>
    <cellStyle name="40% - Accent1 3 2 4 7" xfId="8846" xr:uid="{4A329C6B-35D8-4579-80B8-427C113A9086}"/>
    <cellStyle name="40% - Accent1 3 2 5" xfId="945" xr:uid="{08C0EB0D-225D-451D-B8A2-9B01ED78810C}"/>
    <cellStyle name="40% - Accent1 3 2 5 2" xfId="5077" xr:uid="{270E4FE8-1B15-43E7-9B74-19B930EFC73B}"/>
    <cellStyle name="40% - Accent1 3 2 6" xfId="1773" xr:uid="{63FAE241-26DA-4B9C-824B-BEAA9238B998}"/>
    <cellStyle name="40% - Accent1 3 2 6 2" xfId="5904" xr:uid="{3B572EA3-E465-4051-9452-FB00AC3C0F30}"/>
    <cellStyle name="40% - Accent1 3 2 7" xfId="2597" xr:uid="{F538DBFF-B761-438E-93C4-A55D38666778}"/>
    <cellStyle name="40% - Accent1 3 2 7 2" xfId="6728" xr:uid="{79FE7BF6-A7E6-4D54-9C95-67FB007559C0}"/>
    <cellStyle name="40% - Accent1 3 2 8" xfId="3421" xr:uid="{9F83DB8D-8D20-4D4E-8658-C91DAA708F1C}"/>
    <cellStyle name="40% - Accent1 3 2 8 2" xfId="7580" xr:uid="{9D03406A-CDF8-4D72-832C-D9F09398D3A7}"/>
    <cellStyle name="40% - Accent1 3 2 9" xfId="4251" xr:uid="{EC537CCA-0C66-4325-BA15-5654A2E45E25}"/>
    <cellStyle name="40% - Accent1 3 3" xfId="172" xr:uid="{00000000-0005-0000-0000-000096010000}"/>
    <cellStyle name="40% - Accent1 3 3 2" xfId="381" xr:uid="{00000000-0005-0000-0000-000097010000}"/>
    <cellStyle name="40% - Accent1 3 3 2 2" xfId="798" xr:uid="{00000000-0005-0000-0000-000098010000}"/>
    <cellStyle name="40% - Accent1 3 3 2 2 2" xfId="1624" xr:uid="{D9C96BCF-E34C-42E9-8B4D-5F3BFB2CD9B8}"/>
    <cellStyle name="40% - Accent1 3 3 2 2 2 2" xfId="5756" xr:uid="{697BA82E-A6CA-4331-8945-5B7B369EF8B7}"/>
    <cellStyle name="40% - Accent1 3 3 2 2 3" xfId="2452" xr:uid="{90BE7E45-337B-4CB0-9312-72B01F2F13E0}"/>
    <cellStyle name="40% - Accent1 3 3 2 2 3 2" xfId="6583" xr:uid="{BA824725-7D5D-4CBF-B7A3-5BEF207F28EE}"/>
    <cellStyle name="40% - Accent1 3 3 2 2 4" xfId="3276" xr:uid="{B52AED9F-66CD-4BB3-82C6-A7C5DBE00882}"/>
    <cellStyle name="40% - Accent1 3 3 2 2 4 2" xfId="7407" xr:uid="{92C818DB-E84B-479B-8C79-1ECE55B65470}"/>
    <cellStyle name="40% - Accent1 3 3 2 2 5" xfId="4100" xr:uid="{2A72C29F-63CD-47D0-97EE-02B936A23652}"/>
    <cellStyle name="40% - Accent1 3 3 2 2 5 2" xfId="8259" xr:uid="{2A8CC5E4-A150-412A-806A-3C5B8794027A}"/>
    <cellStyle name="40% - Accent1 3 3 2 2 6" xfId="4930" xr:uid="{653F4612-3A9B-4A3F-A22E-58E833B3CDDB}"/>
    <cellStyle name="40% - Accent1 3 3 2 2 7" xfId="9106" xr:uid="{9177B7B0-CB5C-4435-9132-2F0C3F87997C}"/>
    <cellStyle name="40% - Accent1 3 3 2 3" xfId="1207" xr:uid="{7D20244D-311C-4C8B-9303-EA0478A861CE}"/>
    <cellStyle name="40% - Accent1 3 3 2 3 2" xfId="5339" xr:uid="{626A5333-74F0-4521-A82A-3EA81CF92894}"/>
    <cellStyle name="40% - Accent1 3 3 2 4" xfId="2035" xr:uid="{F146DF39-FF9E-4FFC-889D-8B6054CF25F8}"/>
    <cellStyle name="40% - Accent1 3 3 2 4 2" xfId="6166" xr:uid="{E9762589-5D53-4EEE-B4F7-2DAF1D56FFCA}"/>
    <cellStyle name="40% - Accent1 3 3 2 5" xfId="2859" xr:uid="{7B8DF942-1627-426F-9442-61A3A9B9FB99}"/>
    <cellStyle name="40% - Accent1 3 3 2 5 2" xfId="6990" xr:uid="{F0FFD605-CCE6-4B38-BE8C-ECC1EC373BCE}"/>
    <cellStyle name="40% - Accent1 3 3 2 6" xfId="3683" xr:uid="{DAF96176-C275-4A12-B4D1-D0C97768A40D}"/>
    <cellStyle name="40% - Accent1 3 3 2 6 2" xfId="7842" xr:uid="{223B7393-9E46-48F9-88E8-71D0F75C0C20}"/>
    <cellStyle name="40% - Accent1 3 3 2 7" xfId="4513" xr:uid="{2145819D-7FC2-4D18-9DED-9504D56BB253}"/>
    <cellStyle name="40% - Accent1 3 3 2 8" xfId="8689" xr:uid="{79F0AED0-7E19-4444-A747-3F81001588E0}"/>
    <cellStyle name="40% - Accent1 3 3 3" xfId="590" xr:uid="{00000000-0005-0000-0000-000099010000}"/>
    <cellStyle name="40% - Accent1 3 3 3 2" xfId="1416" xr:uid="{FA7DDF32-2CC5-4B26-A37F-744E632CCCA7}"/>
    <cellStyle name="40% - Accent1 3 3 3 2 2" xfId="5548" xr:uid="{06A60CF7-C177-4D94-8204-9EBAB7F740F9}"/>
    <cellStyle name="40% - Accent1 3 3 3 3" xfId="2244" xr:uid="{CEFA9AFC-6D6B-4F57-B76A-4ADE4984816C}"/>
    <cellStyle name="40% - Accent1 3 3 3 3 2" xfId="6375" xr:uid="{A730D6A4-8503-4903-9E63-7C7C935B11F8}"/>
    <cellStyle name="40% - Accent1 3 3 3 4" xfId="3068" xr:uid="{8BAA3D57-B3DB-4AA2-8611-AEBD8E0EDCD5}"/>
    <cellStyle name="40% - Accent1 3 3 3 4 2" xfId="7199" xr:uid="{A4DAD6E7-AAE7-4042-ABE5-42CEB3BC8223}"/>
    <cellStyle name="40% - Accent1 3 3 3 5" xfId="3892" xr:uid="{94F55E14-101C-44C8-BA8A-246EB9F3388B}"/>
    <cellStyle name="40% - Accent1 3 3 3 5 2" xfId="8051" xr:uid="{35E509FE-5760-4DEE-830B-AC11EBCDF354}"/>
    <cellStyle name="40% - Accent1 3 3 3 6" xfId="4722" xr:uid="{2710E3E9-6E47-45A5-B7DF-C5F912335B90}"/>
    <cellStyle name="40% - Accent1 3 3 3 7" xfId="8898" xr:uid="{3EF47833-A05E-448F-A739-93D35A1FD72C}"/>
    <cellStyle name="40% - Accent1 3 3 4" xfId="998" xr:uid="{98901798-A5C5-40EA-8E10-8AECF27CAB2E}"/>
    <cellStyle name="40% - Accent1 3 3 4 2" xfId="5130" xr:uid="{5BEC2DCA-6C4C-49BE-809E-2D8782D29C0C}"/>
    <cellStyle name="40% - Accent1 3 3 5" xfId="1826" xr:uid="{06D6B8AB-2E74-46F8-A678-29A57EC88D75}"/>
    <cellStyle name="40% - Accent1 3 3 5 2" xfId="5957" xr:uid="{D04D2E87-9E2C-4D6D-ABAE-9E77421F89EA}"/>
    <cellStyle name="40% - Accent1 3 3 6" xfId="2650" xr:uid="{A5C978D8-54B2-4F38-86D3-98340B8ED14D}"/>
    <cellStyle name="40% - Accent1 3 3 6 2" xfId="6781" xr:uid="{C0E0ED31-1B33-44D9-9FCA-640C44DE0B34}"/>
    <cellStyle name="40% - Accent1 3 3 7" xfId="3474" xr:uid="{415AC85C-7F9D-4D11-BB7B-175EEA12B5C8}"/>
    <cellStyle name="40% - Accent1 3 3 7 2" xfId="7633" xr:uid="{9AEBD554-EDE3-42DC-B804-456FF9861166}"/>
    <cellStyle name="40% - Accent1 3 3 8" xfId="4304" xr:uid="{3832DF0D-A7FA-4724-BDCD-8C9ADF8AB0AB}"/>
    <cellStyle name="40% - Accent1 3 3 9" xfId="8480" xr:uid="{18640802-2B7F-4FCE-9D10-285BFFA9564A}"/>
    <cellStyle name="40% - Accent1 3 4" xfId="277" xr:uid="{00000000-0005-0000-0000-00009A010000}"/>
    <cellStyle name="40% - Accent1 3 4 2" xfId="694" xr:uid="{00000000-0005-0000-0000-00009B010000}"/>
    <cellStyle name="40% - Accent1 3 4 2 2" xfId="1520" xr:uid="{BE262A35-EFD2-4DAE-AC5B-C8520FB834B6}"/>
    <cellStyle name="40% - Accent1 3 4 2 2 2" xfId="5652" xr:uid="{900D4131-4E17-4FFD-8DBF-353DA055BCDE}"/>
    <cellStyle name="40% - Accent1 3 4 2 3" xfId="2348" xr:uid="{8A8BCC46-D783-4043-A763-2FB9D0CF0DE2}"/>
    <cellStyle name="40% - Accent1 3 4 2 3 2" xfId="6479" xr:uid="{01E256B6-C519-4016-B08A-D3E78031EE6C}"/>
    <cellStyle name="40% - Accent1 3 4 2 4" xfId="3172" xr:uid="{9FD2BC0D-68B2-4246-B2E7-FE2D9EA0AD16}"/>
    <cellStyle name="40% - Accent1 3 4 2 4 2" xfId="7303" xr:uid="{4425C5D3-63E2-43A6-B1CA-9EDD78CDEE41}"/>
    <cellStyle name="40% - Accent1 3 4 2 5" xfId="3996" xr:uid="{CCC6932A-E878-43D5-941B-05DEE58912E6}"/>
    <cellStyle name="40% - Accent1 3 4 2 5 2" xfId="8155" xr:uid="{7B0CCFC5-5203-42BE-8E51-BA4D6F343EE2}"/>
    <cellStyle name="40% - Accent1 3 4 2 6" xfId="4826" xr:uid="{BA4019CF-2A77-473D-858B-0CB395D74EFF}"/>
    <cellStyle name="40% - Accent1 3 4 2 7" xfId="9002" xr:uid="{FDB6A2AF-CB99-48E7-91C4-EF94B4773DDE}"/>
    <cellStyle name="40% - Accent1 3 4 3" xfId="1103" xr:uid="{249000E2-81C9-4194-91B4-2DB0115B98F2}"/>
    <cellStyle name="40% - Accent1 3 4 3 2" xfId="5235" xr:uid="{A7FF7924-A902-4A75-9D46-212320EE01D2}"/>
    <cellStyle name="40% - Accent1 3 4 4" xfId="1931" xr:uid="{4D065DB8-0724-467D-9B01-C76E77F5784A}"/>
    <cellStyle name="40% - Accent1 3 4 4 2" xfId="6062" xr:uid="{F7A199A8-09B3-4CAD-A9C2-38B54C1E7855}"/>
    <cellStyle name="40% - Accent1 3 4 5" xfId="2755" xr:uid="{85AEC4BA-10C1-46C8-8D0B-6E2247AE97E8}"/>
    <cellStyle name="40% - Accent1 3 4 5 2" xfId="6886" xr:uid="{F1150EF9-F3C5-48BB-AD1D-D141AD726192}"/>
    <cellStyle name="40% - Accent1 3 4 6" xfId="3579" xr:uid="{BACD0103-5241-4E43-B4BF-21C122CFA18B}"/>
    <cellStyle name="40% - Accent1 3 4 6 2" xfId="7738" xr:uid="{3F4B58F8-DB18-4943-9933-08FFFC8A8DEE}"/>
    <cellStyle name="40% - Accent1 3 4 7" xfId="4409" xr:uid="{C9BAEEE3-856F-436A-92C8-E54CAC9E8722}"/>
    <cellStyle name="40% - Accent1 3 4 8" xfId="8585" xr:uid="{DE32754F-B2E6-40A6-A0EC-1C48206FB70E}"/>
    <cellStyle name="40% - Accent1 3 5" xfId="486" xr:uid="{00000000-0005-0000-0000-00009C010000}"/>
    <cellStyle name="40% - Accent1 3 5 2" xfId="1312" xr:uid="{EFE91B4D-8EEC-44DC-BC66-9F0A98BC1C88}"/>
    <cellStyle name="40% - Accent1 3 5 2 2" xfId="5444" xr:uid="{47D96E05-4872-4338-8E0D-E8759B14F5AA}"/>
    <cellStyle name="40% - Accent1 3 5 3" xfId="2140" xr:uid="{D2B25A66-3BF0-47EC-AC32-7E8D29A81124}"/>
    <cellStyle name="40% - Accent1 3 5 3 2" xfId="6271" xr:uid="{5D6223BE-ED13-49E4-925C-2F11E345232C}"/>
    <cellStyle name="40% - Accent1 3 5 4" xfId="2964" xr:uid="{D556E0ED-21AA-44E6-B2C8-E1C8ABAB7927}"/>
    <cellStyle name="40% - Accent1 3 5 4 2" xfId="7095" xr:uid="{3F25B529-F589-4300-BC4F-0C615BFE6B25}"/>
    <cellStyle name="40% - Accent1 3 5 5" xfId="3788" xr:uid="{CA1FC13F-F3F6-4090-9552-F3C90B3E2993}"/>
    <cellStyle name="40% - Accent1 3 5 5 2" xfId="7947" xr:uid="{874B9F99-2B51-4AF5-9D9A-B53CD4B7FE7D}"/>
    <cellStyle name="40% - Accent1 3 5 6" xfId="4618" xr:uid="{163AB097-71D9-47CA-B67A-E542A99E43F8}"/>
    <cellStyle name="40% - Accent1 3 5 7" xfId="8794" xr:uid="{FCB4783D-F0AC-4484-B65C-5C3EA159BB17}"/>
    <cellStyle name="40% - Accent1 3 6" xfId="892" xr:uid="{C2229AF8-5399-434B-81B4-A9EA95E34872}"/>
    <cellStyle name="40% - Accent1 3 6 2" xfId="5024" xr:uid="{25BCC7C4-F4A3-46D3-89FB-844898213373}"/>
    <cellStyle name="40% - Accent1 3 7" xfId="1720" xr:uid="{AAAD6DB3-46AD-4B82-BEB4-6E3DAC3A4615}"/>
    <cellStyle name="40% - Accent1 3 7 2" xfId="5851" xr:uid="{8F15DA76-29A2-4A83-AC35-2B1AB3573D80}"/>
    <cellStyle name="40% - Accent1 3 8" xfId="2544" xr:uid="{15C6904F-A8E3-4C58-B36A-78AF3B58F551}"/>
    <cellStyle name="40% - Accent1 3 8 2" xfId="6675" xr:uid="{91FC1070-B3F5-4F77-8476-76619A3C4883}"/>
    <cellStyle name="40% - Accent1 3 9" xfId="3368" xr:uid="{E17251B4-1B08-42E6-8F7C-01AEC508F23A}"/>
    <cellStyle name="40% - Accent1 3 9 2" xfId="7527" xr:uid="{05F0325B-EEF5-471B-97B4-F25476805A1A}"/>
    <cellStyle name="40% - Accent1 4" xfId="79" xr:uid="{00000000-0005-0000-0000-00009D010000}"/>
    <cellStyle name="40% - Accent1 4 10" xfId="8387" xr:uid="{7CEDA9BF-FFCE-4069-A8E3-102DFE2DE31C}"/>
    <cellStyle name="40% - Accent1 4 2" xfId="185" xr:uid="{00000000-0005-0000-0000-00009E010000}"/>
    <cellStyle name="40% - Accent1 4 2 2" xfId="394" xr:uid="{00000000-0005-0000-0000-00009F010000}"/>
    <cellStyle name="40% - Accent1 4 2 2 2" xfId="811" xr:uid="{00000000-0005-0000-0000-0000A0010000}"/>
    <cellStyle name="40% - Accent1 4 2 2 2 2" xfId="1637" xr:uid="{EB4B36E6-5DE0-481D-8330-F58C94C9B93D}"/>
    <cellStyle name="40% - Accent1 4 2 2 2 2 2" xfId="5769" xr:uid="{291F9F62-E625-4C73-978B-DF3230EF5763}"/>
    <cellStyle name="40% - Accent1 4 2 2 2 3" xfId="2465" xr:uid="{76AB30F5-A3E3-4D4B-BE6D-6F61F93E7CCB}"/>
    <cellStyle name="40% - Accent1 4 2 2 2 3 2" xfId="6596" xr:uid="{FC043E84-D1A6-46F3-B4F0-D6885C75EBC6}"/>
    <cellStyle name="40% - Accent1 4 2 2 2 4" xfId="3289" xr:uid="{CEF43DFB-4F64-4E5C-AD89-D5CF2A03F82A}"/>
    <cellStyle name="40% - Accent1 4 2 2 2 4 2" xfId="7420" xr:uid="{BB346E2C-BAA2-4D4C-A83E-D345DB1B2C17}"/>
    <cellStyle name="40% - Accent1 4 2 2 2 5" xfId="4113" xr:uid="{F87031D9-2E03-436F-8E54-00420CC7EBC6}"/>
    <cellStyle name="40% - Accent1 4 2 2 2 5 2" xfId="8272" xr:uid="{E672EFC6-C6EC-41A6-986A-3B6DD1728839}"/>
    <cellStyle name="40% - Accent1 4 2 2 2 6" xfId="4943" xr:uid="{ABB1A0A7-C39B-4471-989F-AC9B5D719D4F}"/>
    <cellStyle name="40% - Accent1 4 2 2 2 7" xfId="9119" xr:uid="{3BF9BE97-360A-4CF5-83B6-EC922C0966A1}"/>
    <cellStyle name="40% - Accent1 4 2 2 3" xfId="1220" xr:uid="{23D9EB43-15B6-4FB7-A333-9A78459A6760}"/>
    <cellStyle name="40% - Accent1 4 2 2 3 2" xfId="5352" xr:uid="{6A6DF68E-7D04-419C-80DE-0493EC474C1F}"/>
    <cellStyle name="40% - Accent1 4 2 2 4" xfId="2048" xr:uid="{D5ABBF81-5019-4057-A914-1DAEEED69EE3}"/>
    <cellStyle name="40% - Accent1 4 2 2 4 2" xfId="6179" xr:uid="{F50EE515-72E7-4C5C-8B8A-6579D02EB2E1}"/>
    <cellStyle name="40% - Accent1 4 2 2 5" xfId="2872" xr:uid="{CC9BBD56-BD05-4775-934F-A94F3C081346}"/>
    <cellStyle name="40% - Accent1 4 2 2 5 2" xfId="7003" xr:uid="{AC3FFD8E-5E2D-4DF5-AC9F-464A7CDCE2AA}"/>
    <cellStyle name="40% - Accent1 4 2 2 6" xfId="3696" xr:uid="{2FB74EF2-30DF-48B7-9A81-DDF4122D016C}"/>
    <cellStyle name="40% - Accent1 4 2 2 6 2" xfId="7855" xr:uid="{6A01DE0B-3EFB-46C0-9730-3042EEDE1C44}"/>
    <cellStyle name="40% - Accent1 4 2 2 7" xfId="4526" xr:uid="{042DF088-5BA8-42A3-BC5E-F8723130C5FF}"/>
    <cellStyle name="40% - Accent1 4 2 2 8" xfId="8702" xr:uid="{8E2F2E65-B1AC-4CEF-8D5E-3D3C2C57D38A}"/>
    <cellStyle name="40% - Accent1 4 2 3" xfId="603" xr:uid="{00000000-0005-0000-0000-0000A1010000}"/>
    <cellStyle name="40% - Accent1 4 2 3 2" xfId="1429" xr:uid="{A70874DC-A8EB-4B76-A5FA-8063814A0C89}"/>
    <cellStyle name="40% - Accent1 4 2 3 2 2" xfId="5561" xr:uid="{B05C6E60-5142-47C9-91C6-AF9AC568FE2A}"/>
    <cellStyle name="40% - Accent1 4 2 3 3" xfId="2257" xr:uid="{F5DE681F-86A6-48AD-9F54-DD6E6F43390F}"/>
    <cellStyle name="40% - Accent1 4 2 3 3 2" xfId="6388" xr:uid="{CB6A0421-B5DA-4818-BC3A-5263D43E2601}"/>
    <cellStyle name="40% - Accent1 4 2 3 4" xfId="3081" xr:uid="{25FCA206-68A2-4548-87AA-E49E0A99FAB2}"/>
    <cellStyle name="40% - Accent1 4 2 3 4 2" xfId="7212" xr:uid="{C5EB1813-159A-4650-9572-288219752695}"/>
    <cellStyle name="40% - Accent1 4 2 3 5" xfId="3905" xr:uid="{2350260E-A58A-4B8D-B016-5CFFCCCCE0B8}"/>
    <cellStyle name="40% - Accent1 4 2 3 5 2" xfId="8064" xr:uid="{5D711842-89A3-4A29-9BDD-FBE4C63B3DF3}"/>
    <cellStyle name="40% - Accent1 4 2 3 6" xfId="4735" xr:uid="{6C35D2E3-A22B-4623-AC4B-30C0269AE752}"/>
    <cellStyle name="40% - Accent1 4 2 3 7" xfId="8911" xr:uid="{B4DDE484-CFA7-4EC2-9E0D-849130088821}"/>
    <cellStyle name="40% - Accent1 4 2 4" xfId="1011" xr:uid="{1EFA62FE-F256-4BA0-AD5F-7AC4636EDEB9}"/>
    <cellStyle name="40% - Accent1 4 2 4 2" xfId="5143" xr:uid="{D7ED9105-4163-4B06-BA15-232783B24E51}"/>
    <cellStyle name="40% - Accent1 4 2 5" xfId="1839" xr:uid="{081C0CC6-BF26-4B24-9950-82AD824CD8CC}"/>
    <cellStyle name="40% - Accent1 4 2 5 2" xfId="5970" xr:uid="{29CD1E4E-D44D-4EFB-BFD0-EFBADA4DD5FD}"/>
    <cellStyle name="40% - Accent1 4 2 6" xfId="2663" xr:uid="{F8D9731D-3D32-4470-99F6-9A2F9053F2E9}"/>
    <cellStyle name="40% - Accent1 4 2 6 2" xfId="6794" xr:uid="{ED5027C4-C1E6-4051-86BB-970D86ED74A1}"/>
    <cellStyle name="40% - Accent1 4 2 7" xfId="3487" xr:uid="{D3FDE945-25AB-41E2-9A04-60D5224AF1F7}"/>
    <cellStyle name="40% - Accent1 4 2 7 2" xfId="7646" xr:uid="{0DBCB9D4-99AE-44EE-8765-D5C4374E7A9B}"/>
    <cellStyle name="40% - Accent1 4 2 8" xfId="4317" xr:uid="{959E6117-7A04-4E45-9577-F67DF98AE538}"/>
    <cellStyle name="40% - Accent1 4 2 9" xfId="8493" xr:uid="{414CF568-4E33-4409-B4CB-A577F5F4B5A7}"/>
    <cellStyle name="40% - Accent1 4 3" xfId="290" xr:uid="{00000000-0005-0000-0000-0000A2010000}"/>
    <cellStyle name="40% - Accent1 4 3 2" xfId="707" xr:uid="{00000000-0005-0000-0000-0000A3010000}"/>
    <cellStyle name="40% - Accent1 4 3 2 2" xfId="1533" xr:uid="{34CEB3B9-01F4-4E03-AA52-7CA134826696}"/>
    <cellStyle name="40% - Accent1 4 3 2 2 2" xfId="5665" xr:uid="{F44564DC-B9E7-45BF-AAB8-326F4F28403B}"/>
    <cellStyle name="40% - Accent1 4 3 2 3" xfId="2361" xr:uid="{AD926931-41ED-43C8-886A-FF8705A3615A}"/>
    <cellStyle name="40% - Accent1 4 3 2 3 2" xfId="6492" xr:uid="{596A0CCC-4CAC-46AE-89EF-2857F2151337}"/>
    <cellStyle name="40% - Accent1 4 3 2 4" xfId="3185" xr:uid="{943CAB91-70BD-41AA-9CD0-2C2E5AFA1DCB}"/>
    <cellStyle name="40% - Accent1 4 3 2 4 2" xfId="7316" xr:uid="{DA2D0766-AE74-4C43-B848-010A9D11EB76}"/>
    <cellStyle name="40% - Accent1 4 3 2 5" xfId="4009" xr:uid="{FD710A98-D159-4B77-8A07-B71ADFDFE3C7}"/>
    <cellStyle name="40% - Accent1 4 3 2 5 2" xfId="8168" xr:uid="{5CC72E0F-0AD9-4A16-81D1-4BAC02A5D076}"/>
    <cellStyle name="40% - Accent1 4 3 2 6" xfId="4839" xr:uid="{E82B1F3B-B1D0-448A-9703-9D0B1A095CDE}"/>
    <cellStyle name="40% - Accent1 4 3 2 7" xfId="9015" xr:uid="{BC4662FC-E544-4895-9791-EBF323239078}"/>
    <cellStyle name="40% - Accent1 4 3 3" xfId="1116" xr:uid="{B3F12F63-59EC-41F5-BEE1-77978DACCD5D}"/>
    <cellStyle name="40% - Accent1 4 3 3 2" xfId="5248" xr:uid="{C0E7C3F3-9363-4D8E-ADA6-0E9A89D24283}"/>
    <cellStyle name="40% - Accent1 4 3 4" xfId="1944" xr:uid="{46A4D8A3-7E99-42C6-9876-D8BF28CADC64}"/>
    <cellStyle name="40% - Accent1 4 3 4 2" xfId="6075" xr:uid="{E47051C3-52E0-413E-9F36-AFB208BDB773}"/>
    <cellStyle name="40% - Accent1 4 3 5" xfId="2768" xr:uid="{9418274B-F4E8-4F24-9C70-754C44FA8A2F}"/>
    <cellStyle name="40% - Accent1 4 3 5 2" xfId="6899" xr:uid="{5AE6C633-A62B-4041-BC94-60DCDF8E447C}"/>
    <cellStyle name="40% - Accent1 4 3 6" xfId="3592" xr:uid="{978AD05F-00D3-4F48-A024-50568634543C}"/>
    <cellStyle name="40% - Accent1 4 3 6 2" xfId="7751" xr:uid="{D55AB459-75B2-4AC2-84F7-C4E32487176D}"/>
    <cellStyle name="40% - Accent1 4 3 7" xfId="4422" xr:uid="{D58383BE-5DB7-429B-AE0D-118BBB4C0FED}"/>
    <cellStyle name="40% - Accent1 4 3 8" xfId="8598" xr:uid="{266B0F1A-9E7D-408A-95BC-77D9C1972327}"/>
    <cellStyle name="40% - Accent1 4 4" xfId="499" xr:uid="{00000000-0005-0000-0000-0000A4010000}"/>
    <cellStyle name="40% - Accent1 4 4 2" xfId="1325" xr:uid="{2A2684EB-02A0-4DEF-986E-B0977E7A0481}"/>
    <cellStyle name="40% - Accent1 4 4 2 2" xfId="5457" xr:uid="{01A3871B-2FB1-468B-82A1-A22DC403073D}"/>
    <cellStyle name="40% - Accent1 4 4 3" xfId="2153" xr:uid="{129AECCB-0A21-44B0-B245-793990FA0B6A}"/>
    <cellStyle name="40% - Accent1 4 4 3 2" xfId="6284" xr:uid="{58C9DDDC-ECD5-407A-A98A-EA75BF3D0612}"/>
    <cellStyle name="40% - Accent1 4 4 4" xfId="2977" xr:uid="{CA820EC0-B937-4DC8-83FD-6E5DE0C78557}"/>
    <cellStyle name="40% - Accent1 4 4 4 2" xfId="7108" xr:uid="{B4F572C6-F468-463E-BF5C-56FFAE7772F2}"/>
    <cellStyle name="40% - Accent1 4 4 5" xfId="3801" xr:uid="{CECBC0AF-1C19-44DB-91E5-49652712759C}"/>
    <cellStyle name="40% - Accent1 4 4 5 2" xfId="7960" xr:uid="{D2B355DF-561A-42C8-9B08-3AE1214FE30C}"/>
    <cellStyle name="40% - Accent1 4 4 6" xfId="4631" xr:uid="{6D2DA2F9-0FC6-47A0-9A39-F94874101129}"/>
    <cellStyle name="40% - Accent1 4 4 7" xfId="8807" xr:uid="{3D17727D-705C-464D-A927-BD195B8CB5DD}"/>
    <cellStyle name="40% - Accent1 4 5" xfId="905" xr:uid="{DCF9317A-7A21-4534-A486-B8B81483FFBB}"/>
    <cellStyle name="40% - Accent1 4 5 2" xfId="5037" xr:uid="{10A5FCAD-5783-4292-A450-0AA00CC0C910}"/>
    <cellStyle name="40% - Accent1 4 6" xfId="1733" xr:uid="{7A06244A-6FA1-4C06-9AB3-1179EF4E8ED7}"/>
    <cellStyle name="40% - Accent1 4 6 2" xfId="5864" xr:uid="{59CB4497-A2F7-41B9-832F-D79959B56376}"/>
    <cellStyle name="40% - Accent1 4 7" xfId="2557" xr:uid="{F9E3E1E3-1F31-4A5E-B5E9-BFCB261D5E86}"/>
    <cellStyle name="40% - Accent1 4 7 2" xfId="6688" xr:uid="{82116EE1-566E-4DF9-AA14-8D160ACD2BB5}"/>
    <cellStyle name="40% - Accent1 4 8" xfId="3381" xr:uid="{C817092A-D585-406B-AA4E-B6D44A7DC118}"/>
    <cellStyle name="40% - Accent1 4 8 2" xfId="7540" xr:uid="{8229A08B-4098-4D4C-9569-A5EDA5355FBC}"/>
    <cellStyle name="40% - Accent1 4 9" xfId="4211" xr:uid="{B1090F16-136D-491B-864A-BC7AF2AB2B20}"/>
    <cellStyle name="40% - Accent1 5" xfId="92" xr:uid="{00000000-0005-0000-0000-0000A5010000}"/>
    <cellStyle name="40% - Accent1 5 10" xfId="8400" xr:uid="{7C7C8B64-991C-48E5-88CF-A44F62B44ED9}"/>
    <cellStyle name="40% - Accent1 5 2" xfId="197" xr:uid="{00000000-0005-0000-0000-0000A6010000}"/>
    <cellStyle name="40% - Accent1 5 2 2" xfId="406" xr:uid="{00000000-0005-0000-0000-0000A7010000}"/>
    <cellStyle name="40% - Accent1 5 2 2 2" xfId="823" xr:uid="{00000000-0005-0000-0000-0000A8010000}"/>
    <cellStyle name="40% - Accent1 5 2 2 2 2" xfId="1649" xr:uid="{2F8D9259-CF0C-488B-9B99-F51E1E8AC7DF}"/>
    <cellStyle name="40% - Accent1 5 2 2 2 2 2" xfId="5781" xr:uid="{22D11E98-CD38-4FF9-923C-74B5BDA7F5E8}"/>
    <cellStyle name="40% - Accent1 5 2 2 2 3" xfId="2477" xr:uid="{C2978D38-953F-4399-8BCC-314A6D50B5F9}"/>
    <cellStyle name="40% - Accent1 5 2 2 2 3 2" xfId="6608" xr:uid="{57EA2491-6C10-4857-9CEC-5FFAA33EBB75}"/>
    <cellStyle name="40% - Accent1 5 2 2 2 4" xfId="3301" xr:uid="{932897E4-87F9-4EF9-BB22-29DCA3AE249F}"/>
    <cellStyle name="40% - Accent1 5 2 2 2 4 2" xfId="7432" xr:uid="{E47CC28E-C722-4515-82FB-87A7CD3AB7C7}"/>
    <cellStyle name="40% - Accent1 5 2 2 2 5" xfId="4125" xr:uid="{B0410821-3E87-4C0F-B43A-DE7247B8E773}"/>
    <cellStyle name="40% - Accent1 5 2 2 2 5 2" xfId="8284" xr:uid="{664CC892-5100-4314-A112-2C662F181275}"/>
    <cellStyle name="40% - Accent1 5 2 2 2 6" xfId="4955" xr:uid="{DFE64726-1C84-4324-85C5-364867EF267F}"/>
    <cellStyle name="40% - Accent1 5 2 2 2 7" xfId="9131" xr:uid="{A163F67C-F18C-4A20-8060-55E0786CA345}"/>
    <cellStyle name="40% - Accent1 5 2 2 3" xfId="1232" xr:uid="{DB1FA534-9CB3-4C44-A691-9FB4EE24CA06}"/>
    <cellStyle name="40% - Accent1 5 2 2 3 2" xfId="5364" xr:uid="{50E87FDD-A514-4C65-AAD6-B95FBEF4E1EB}"/>
    <cellStyle name="40% - Accent1 5 2 2 4" xfId="2060" xr:uid="{C631521E-8647-4F8D-ADF4-F000504194DD}"/>
    <cellStyle name="40% - Accent1 5 2 2 4 2" xfId="6191" xr:uid="{528CA0E5-2217-43E1-BACE-347C93441003}"/>
    <cellStyle name="40% - Accent1 5 2 2 5" xfId="2884" xr:uid="{2EECA704-E666-489C-9A02-C6E6AEC87B89}"/>
    <cellStyle name="40% - Accent1 5 2 2 5 2" xfId="7015" xr:uid="{968BC518-DE7A-4A06-B875-9A25658A8B68}"/>
    <cellStyle name="40% - Accent1 5 2 2 6" xfId="3708" xr:uid="{098D7218-CA83-4A5E-A713-F201218EBB69}"/>
    <cellStyle name="40% - Accent1 5 2 2 6 2" xfId="7867" xr:uid="{DB4C9C2E-35F6-42F5-A3F3-55FE830AD75C}"/>
    <cellStyle name="40% - Accent1 5 2 2 7" xfId="4538" xr:uid="{5ACEB731-3CB3-493A-9EC7-41CC0A9BE7A0}"/>
    <cellStyle name="40% - Accent1 5 2 2 8" xfId="8714" xr:uid="{959CC44B-C9DA-4064-9FD5-D41D11F62362}"/>
    <cellStyle name="40% - Accent1 5 2 3" xfId="615" xr:uid="{00000000-0005-0000-0000-0000A9010000}"/>
    <cellStyle name="40% - Accent1 5 2 3 2" xfId="1441" xr:uid="{00B338B1-BDAD-4050-B434-4B325775C5C2}"/>
    <cellStyle name="40% - Accent1 5 2 3 2 2" xfId="5573" xr:uid="{4A841386-B118-4360-9E0F-638201AC8991}"/>
    <cellStyle name="40% - Accent1 5 2 3 3" xfId="2269" xr:uid="{22B2714A-0F9E-42AD-AC4C-2DE94179F5A6}"/>
    <cellStyle name="40% - Accent1 5 2 3 3 2" xfId="6400" xr:uid="{D09E44A3-2327-4E09-9CFA-547F0F7E7D15}"/>
    <cellStyle name="40% - Accent1 5 2 3 4" xfId="3093" xr:uid="{C53DFB2F-E906-4627-9AC1-C6D6276916EB}"/>
    <cellStyle name="40% - Accent1 5 2 3 4 2" xfId="7224" xr:uid="{BD5084D5-704F-43CA-83B6-5E56579A0833}"/>
    <cellStyle name="40% - Accent1 5 2 3 5" xfId="3917" xr:uid="{E273A9C7-DE42-4462-9477-A70E781A83C3}"/>
    <cellStyle name="40% - Accent1 5 2 3 5 2" xfId="8076" xr:uid="{324F247D-8132-4C91-B9C8-F289C1CAAA69}"/>
    <cellStyle name="40% - Accent1 5 2 3 6" xfId="4747" xr:uid="{70ABFF52-BE7D-4481-A384-04272D00F76B}"/>
    <cellStyle name="40% - Accent1 5 2 3 7" xfId="8923" xr:uid="{EA4B6B49-683C-4EE0-95E8-B98452C6DAB6}"/>
    <cellStyle name="40% - Accent1 5 2 4" xfId="1023" xr:uid="{B9D4B2DB-59D1-4D1D-A2B0-80631F653FFF}"/>
    <cellStyle name="40% - Accent1 5 2 4 2" xfId="5155" xr:uid="{90ED53E1-E4F5-4F0D-B438-701588172DD3}"/>
    <cellStyle name="40% - Accent1 5 2 5" xfId="1851" xr:uid="{DAE054A7-FB65-40C9-BC16-B51FDD9A18E7}"/>
    <cellStyle name="40% - Accent1 5 2 5 2" xfId="5982" xr:uid="{7ECC92B9-3DF8-45CD-A0E2-8A90EDB9DDE4}"/>
    <cellStyle name="40% - Accent1 5 2 6" xfId="2675" xr:uid="{D73D8E0A-5A38-4DEF-A557-7E24BCB6E1E9}"/>
    <cellStyle name="40% - Accent1 5 2 6 2" xfId="6806" xr:uid="{1CA3751A-4405-4E2C-BC5F-16EDFA220902}"/>
    <cellStyle name="40% - Accent1 5 2 7" xfId="3499" xr:uid="{4514537F-92B1-4105-9CE1-C8226D187347}"/>
    <cellStyle name="40% - Accent1 5 2 7 2" xfId="7658" xr:uid="{A9C5B859-188A-4F9F-AC1E-DBDA704D6EA5}"/>
    <cellStyle name="40% - Accent1 5 2 8" xfId="4329" xr:uid="{E63D4442-DCFE-48D4-89ED-579A59B587E0}"/>
    <cellStyle name="40% - Accent1 5 2 9" xfId="8505" xr:uid="{DF6DC8ED-4710-4216-8372-8A73AF31A8D2}"/>
    <cellStyle name="40% - Accent1 5 3" xfId="302" xr:uid="{00000000-0005-0000-0000-0000AA010000}"/>
    <cellStyle name="40% - Accent1 5 3 2" xfId="719" xr:uid="{00000000-0005-0000-0000-0000AB010000}"/>
    <cellStyle name="40% - Accent1 5 3 2 2" xfId="1545" xr:uid="{54BC471B-9539-4FFE-9107-F8F0C30C062C}"/>
    <cellStyle name="40% - Accent1 5 3 2 2 2" xfId="5677" xr:uid="{BDF06E68-9A80-497C-8839-37A9D85A3066}"/>
    <cellStyle name="40% - Accent1 5 3 2 3" xfId="2373" xr:uid="{4F6099B8-A705-4311-8D92-86E28DE38586}"/>
    <cellStyle name="40% - Accent1 5 3 2 3 2" xfId="6504" xr:uid="{C81106AD-CD95-40E7-A60E-9A9AA23417F5}"/>
    <cellStyle name="40% - Accent1 5 3 2 4" xfId="3197" xr:uid="{4AFFCD34-0F2E-496B-A80F-E40ABFE9B485}"/>
    <cellStyle name="40% - Accent1 5 3 2 4 2" xfId="7328" xr:uid="{7207412A-2FD9-4C55-872D-6030757464F1}"/>
    <cellStyle name="40% - Accent1 5 3 2 5" xfId="4021" xr:uid="{B631B905-FD1A-42E6-9423-290AE31D17DE}"/>
    <cellStyle name="40% - Accent1 5 3 2 5 2" xfId="8180" xr:uid="{6BEDB0DF-39E2-4DCF-BE68-65DBD568E0B5}"/>
    <cellStyle name="40% - Accent1 5 3 2 6" xfId="4851" xr:uid="{4B356412-471F-4E24-A1E0-8EEB9C4E8C25}"/>
    <cellStyle name="40% - Accent1 5 3 2 7" xfId="9027" xr:uid="{3B36EDE7-07DC-4F33-864C-68C2D5615E7A}"/>
    <cellStyle name="40% - Accent1 5 3 3" xfId="1128" xr:uid="{DF1D8EE3-21E8-4566-A3DC-DF395E4D7C1F}"/>
    <cellStyle name="40% - Accent1 5 3 3 2" xfId="5260" xr:uid="{BD34FFC5-959D-4FEE-B9F5-97C7536CAFE3}"/>
    <cellStyle name="40% - Accent1 5 3 4" xfId="1956" xr:uid="{4FE24212-7858-4404-8BC5-3A1C3D11EE4D}"/>
    <cellStyle name="40% - Accent1 5 3 4 2" xfId="6087" xr:uid="{53465FFA-F667-46AB-9D8E-BA3E34125D13}"/>
    <cellStyle name="40% - Accent1 5 3 5" xfId="2780" xr:uid="{86AC5B18-FB51-437B-885A-64878089A690}"/>
    <cellStyle name="40% - Accent1 5 3 5 2" xfId="6911" xr:uid="{2A0693AD-6419-4632-BAB7-BBD9EA152261}"/>
    <cellStyle name="40% - Accent1 5 3 6" xfId="3604" xr:uid="{F05ED593-C275-4684-A41F-3170A53A0CEE}"/>
    <cellStyle name="40% - Accent1 5 3 6 2" xfId="7763" xr:uid="{F815E572-DCD4-4F74-9402-7DA7351544A6}"/>
    <cellStyle name="40% - Accent1 5 3 7" xfId="4434" xr:uid="{65F00A0B-CF10-463C-9F04-A86D5E028FCB}"/>
    <cellStyle name="40% - Accent1 5 3 8" xfId="8610" xr:uid="{19CE24CA-0AB0-470D-8F05-D1E3993D35F5}"/>
    <cellStyle name="40% - Accent1 5 4" xfId="511" xr:uid="{00000000-0005-0000-0000-0000AC010000}"/>
    <cellStyle name="40% - Accent1 5 4 2" xfId="1337" xr:uid="{9FDFE7D3-E407-4880-8174-C0F5222E0627}"/>
    <cellStyle name="40% - Accent1 5 4 2 2" xfId="5469" xr:uid="{01C70E86-EC81-4476-8420-C818967C2F72}"/>
    <cellStyle name="40% - Accent1 5 4 3" xfId="2165" xr:uid="{7FB6107D-F824-4A9E-A9C6-2A699AA22B10}"/>
    <cellStyle name="40% - Accent1 5 4 3 2" xfId="6296" xr:uid="{D0EBDDD1-AF1E-45B9-85DF-8307164CA579}"/>
    <cellStyle name="40% - Accent1 5 4 4" xfId="2989" xr:uid="{CE91A59B-FB0C-4D10-97EC-A6278505F6A5}"/>
    <cellStyle name="40% - Accent1 5 4 4 2" xfId="7120" xr:uid="{7F4AA6CB-785E-40F6-AC96-EB52E15DBC25}"/>
    <cellStyle name="40% - Accent1 5 4 5" xfId="3813" xr:uid="{16C006B3-7C14-49F9-BAE4-EE6F95D4869B}"/>
    <cellStyle name="40% - Accent1 5 4 5 2" xfId="7972" xr:uid="{B512581C-0F41-46F3-915B-278E5C54A97B}"/>
    <cellStyle name="40% - Accent1 5 4 6" xfId="4643" xr:uid="{8180F2D2-56BA-4895-A584-B0CC7BED69BF}"/>
    <cellStyle name="40% - Accent1 5 4 7" xfId="8819" xr:uid="{BED23986-2BF2-4871-AC65-E2F146929A76}"/>
    <cellStyle name="40% - Accent1 5 5" xfId="918" xr:uid="{F1B26BAF-A349-43B2-8FCA-A2DBFC760DC0}"/>
    <cellStyle name="40% - Accent1 5 5 2" xfId="5050" xr:uid="{ADC08D97-9B32-40E2-8430-C0F42D8B763B}"/>
    <cellStyle name="40% - Accent1 5 6" xfId="1746" xr:uid="{E8654365-17BB-4694-BFEC-4C2E191B76F2}"/>
    <cellStyle name="40% - Accent1 5 6 2" xfId="5877" xr:uid="{F9F23029-9566-4D7C-9388-DE92D778A2C3}"/>
    <cellStyle name="40% - Accent1 5 7" xfId="2570" xr:uid="{BA99DB81-D72B-4034-AF63-3948A192FE05}"/>
    <cellStyle name="40% - Accent1 5 7 2" xfId="6701" xr:uid="{8EBF9F48-DBE2-48EB-AF54-2D2AD4DDC64C}"/>
    <cellStyle name="40% - Accent1 5 8" xfId="3394" xr:uid="{1AD2E136-A33F-4FF9-A9D9-1F092029B690}"/>
    <cellStyle name="40% - Accent1 5 8 2" xfId="7553" xr:uid="{7CFDD1A3-396F-4D2F-B641-94CC94C2D9FA}"/>
    <cellStyle name="40% - Accent1 5 9" xfId="4224" xr:uid="{6DC3525A-2E3F-409F-8734-B6E94B257B93}"/>
    <cellStyle name="40% - Accent1 6" xfId="132" xr:uid="{00000000-0005-0000-0000-0000AD010000}"/>
    <cellStyle name="40% - Accent1 6 2" xfId="342" xr:uid="{00000000-0005-0000-0000-0000AE010000}"/>
    <cellStyle name="40% - Accent1 6 2 2" xfId="759" xr:uid="{00000000-0005-0000-0000-0000AF010000}"/>
    <cellStyle name="40% - Accent1 6 2 2 2" xfId="1585" xr:uid="{D5810ADE-180A-4118-9197-1EF5F01E4D5C}"/>
    <cellStyle name="40% - Accent1 6 2 2 2 2" xfId="5717" xr:uid="{AE785995-A780-4D99-81AD-77B68317288F}"/>
    <cellStyle name="40% - Accent1 6 2 2 3" xfId="2413" xr:uid="{A87A6C51-710F-4477-B5DD-B98A406833EB}"/>
    <cellStyle name="40% - Accent1 6 2 2 3 2" xfId="6544" xr:uid="{13EA1B09-83CB-4502-92A6-569F433A5C59}"/>
    <cellStyle name="40% - Accent1 6 2 2 4" xfId="3237" xr:uid="{A91D6F76-BC23-41CF-8496-06AF4624DBB6}"/>
    <cellStyle name="40% - Accent1 6 2 2 4 2" xfId="7368" xr:uid="{00BABCC4-D5BD-42BC-9636-9D39D9366591}"/>
    <cellStyle name="40% - Accent1 6 2 2 5" xfId="4061" xr:uid="{3FDEC125-2B4A-49E0-860A-D8FEF415E55B}"/>
    <cellStyle name="40% - Accent1 6 2 2 5 2" xfId="8220" xr:uid="{22BA3E8C-6EB8-4FD6-AE56-159E43E7FF4A}"/>
    <cellStyle name="40% - Accent1 6 2 2 6" xfId="4891" xr:uid="{7A6AAF58-7057-473F-BA6D-70912E9AB7C1}"/>
    <cellStyle name="40% - Accent1 6 2 2 7" xfId="9067" xr:uid="{BE98B639-7667-4975-9444-8C7BC4CB1285}"/>
    <cellStyle name="40% - Accent1 6 2 3" xfId="1168" xr:uid="{E4696FB0-BB57-4D5E-BC8E-811CD915AAB9}"/>
    <cellStyle name="40% - Accent1 6 2 3 2" xfId="5300" xr:uid="{275BDCE3-21C5-4A01-AD74-CF0338A2A658}"/>
    <cellStyle name="40% - Accent1 6 2 4" xfId="1996" xr:uid="{57351130-A6EF-419E-912D-0E9159E634E3}"/>
    <cellStyle name="40% - Accent1 6 2 4 2" xfId="6127" xr:uid="{6354AC48-E262-4913-8A8F-F5BF00BC4F30}"/>
    <cellStyle name="40% - Accent1 6 2 5" xfId="2820" xr:uid="{1F8B989C-2F0B-4C81-BE3D-1FA6B811690B}"/>
    <cellStyle name="40% - Accent1 6 2 5 2" xfId="6951" xr:uid="{DD2F343B-36C4-47AF-9D36-5526BBE11AF9}"/>
    <cellStyle name="40% - Accent1 6 2 6" xfId="3644" xr:uid="{081BCD7D-85DC-477E-93E8-A6A3CE33FAEE}"/>
    <cellStyle name="40% - Accent1 6 2 6 2" xfId="7803" xr:uid="{5DA2BEB2-CA30-48AC-B2C0-52B5A225DC13}"/>
    <cellStyle name="40% - Accent1 6 2 7" xfId="4474" xr:uid="{5E22A389-01E3-4FE8-9382-AB34257DC806}"/>
    <cellStyle name="40% - Accent1 6 2 8" xfId="8650" xr:uid="{84AAE0D9-10B3-4D54-A9DE-92561A54D8C3}"/>
    <cellStyle name="40% - Accent1 6 3" xfId="551" xr:uid="{00000000-0005-0000-0000-0000B0010000}"/>
    <cellStyle name="40% - Accent1 6 3 2" xfId="1377" xr:uid="{648B5BF1-1912-4C38-8CF6-640C8A529445}"/>
    <cellStyle name="40% - Accent1 6 3 2 2" xfId="5509" xr:uid="{BBC5F6C0-3970-46A2-B0AB-4E8EE0541E82}"/>
    <cellStyle name="40% - Accent1 6 3 3" xfId="2205" xr:uid="{EB4912A6-8880-435E-A3E1-883BD1C80BFB}"/>
    <cellStyle name="40% - Accent1 6 3 3 2" xfId="6336" xr:uid="{FED3BF13-6BA4-48E4-8E04-0D50F37CC358}"/>
    <cellStyle name="40% - Accent1 6 3 4" xfId="3029" xr:uid="{288524D3-BD4B-4753-8426-24FDDB476F16}"/>
    <cellStyle name="40% - Accent1 6 3 4 2" xfId="7160" xr:uid="{169EFDF0-273A-49F1-80D8-02F4335B1C04}"/>
    <cellStyle name="40% - Accent1 6 3 5" xfId="3853" xr:uid="{FD5A09D6-C2CA-4D95-8B3C-236142E0D2B3}"/>
    <cellStyle name="40% - Accent1 6 3 5 2" xfId="8012" xr:uid="{9E34D665-0143-418A-81FE-23BBE33D4274}"/>
    <cellStyle name="40% - Accent1 6 3 6" xfId="4683" xr:uid="{4EE1D9A0-CF92-4F16-A62D-2E8357FA4F2F}"/>
    <cellStyle name="40% - Accent1 6 3 7" xfId="8859" xr:uid="{9C53AB12-966A-4B66-A84B-D8A1DB730873}"/>
    <cellStyle name="40% - Accent1 6 4" xfId="958" xr:uid="{3FAC5A3D-B1F8-44C7-B564-7D10490BBDAC}"/>
    <cellStyle name="40% - Accent1 6 4 2" xfId="5090" xr:uid="{2D9DF0C3-0725-46E7-B612-A4A063FC24B9}"/>
    <cellStyle name="40% - Accent1 6 5" xfId="1786" xr:uid="{DE917090-90D4-4842-B914-DEC71279B807}"/>
    <cellStyle name="40% - Accent1 6 5 2" xfId="5917" xr:uid="{3D2F9550-C128-41C2-8092-ED0C4F1CB4B2}"/>
    <cellStyle name="40% - Accent1 6 6" xfId="2610" xr:uid="{785502F5-2419-4CF6-AADA-93C686646378}"/>
    <cellStyle name="40% - Accent1 6 6 2" xfId="6741" xr:uid="{0CA8DCD5-E1A8-4AE1-818E-B97D6095D6F3}"/>
    <cellStyle name="40% - Accent1 6 7" xfId="3434" xr:uid="{8AFD1381-7C2B-40F1-ACCA-B0E06DC25595}"/>
    <cellStyle name="40% - Accent1 6 7 2" xfId="7593" xr:uid="{59FBDADF-E4B6-4A6C-83EB-E6DFFB5623D3}"/>
    <cellStyle name="40% - Accent1 6 8" xfId="4264" xr:uid="{E137F985-41FA-4962-9130-3960F4CB6F98}"/>
    <cellStyle name="40% - Accent1 6 9" xfId="8440" xr:uid="{23ADB406-19EC-44FD-9A31-C1BEB484DA91}"/>
    <cellStyle name="40% - Accent1 7" xfId="145" xr:uid="{00000000-0005-0000-0000-0000B1010000}"/>
    <cellStyle name="40% - Accent1 7 2" xfId="354" xr:uid="{00000000-0005-0000-0000-0000B2010000}"/>
    <cellStyle name="40% - Accent1 7 2 2" xfId="771" xr:uid="{00000000-0005-0000-0000-0000B3010000}"/>
    <cellStyle name="40% - Accent1 7 2 2 2" xfId="1597" xr:uid="{90C4A333-F975-401E-BB48-CDEF524D678F}"/>
    <cellStyle name="40% - Accent1 7 2 2 2 2" xfId="5729" xr:uid="{4EDE5333-B2A1-4E32-A0CD-8B079A703D3C}"/>
    <cellStyle name="40% - Accent1 7 2 2 3" xfId="2425" xr:uid="{10797486-9940-49B6-B844-6903F09D9596}"/>
    <cellStyle name="40% - Accent1 7 2 2 3 2" xfId="6556" xr:uid="{96BA5D2D-D986-4B7B-B51F-50BD785C2F9F}"/>
    <cellStyle name="40% - Accent1 7 2 2 4" xfId="3249" xr:uid="{0AE3FB56-9640-43AF-81C7-0C04035B7278}"/>
    <cellStyle name="40% - Accent1 7 2 2 4 2" xfId="7380" xr:uid="{AD7CC7C4-E049-4A50-868B-10C195B2FBC8}"/>
    <cellStyle name="40% - Accent1 7 2 2 5" xfId="4073" xr:uid="{9BDA9DFE-2E51-4FB0-AE1F-A5F9BA882D7A}"/>
    <cellStyle name="40% - Accent1 7 2 2 5 2" xfId="8232" xr:uid="{CA599E41-C400-445C-8FAA-73BF7C0C57DD}"/>
    <cellStyle name="40% - Accent1 7 2 2 6" xfId="4903" xr:uid="{E30365BE-D0EA-42CF-9479-F57A75900DB4}"/>
    <cellStyle name="40% - Accent1 7 2 2 7" xfId="9079" xr:uid="{66EB0563-8286-4619-9FD1-EF0DA4C0CDCD}"/>
    <cellStyle name="40% - Accent1 7 2 3" xfId="1180" xr:uid="{41B33CA5-E2BA-4472-9023-43488929361D}"/>
    <cellStyle name="40% - Accent1 7 2 3 2" xfId="5312" xr:uid="{7342D848-3119-47EA-9064-52A8CB3EE37D}"/>
    <cellStyle name="40% - Accent1 7 2 4" xfId="2008" xr:uid="{D2D53361-2843-4493-AE99-BC91ADD80526}"/>
    <cellStyle name="40% - Accent1 7 2 4 2" xfId="6139" xr:uid="{827590DC-87D2-45D1-91BC-7D71D0F6610F}"/>
    <cellStyle name="40% - Accent1 7 2 5" xfId="2832" xr:uid="{E1783DCC-C569-42A1-92EC-2F80DEADDC6D}"/>
    <cellStyle name="40% - Accent1 7 2 5 2" xfId="6963" xr:uid="{4B402876-2769-432B-B42D-5C4BC59A5079}"/>
    <cellStyle name="40% - Accent1 7 2 6" xfId="3656" xr:uid="{814BA7B5-7D5B-456E-A624-C262044BA0E3}"/>
    <cellStyle name="40% - Accent1 7 2 6 2" xfId="7815" xr:uid="{0F4E9249-D545-4954-AAA1-5608C8F9B762}"/>
    <cellStyle name="40% - Accent1 7 2 7" xfId="4486" xr:uid="{8FEB78A7-6EA2-485E-A027-5092D4F87C6E}"/>
    <cellStyle name="40% - Accent1 7 2 8" xfId="8662" xr:uid="{B52C5DB6-6A81-4CEF-8FAE-A91B270D8786}"/>
    <cellStyle name="40% - Accent1 7 3" xfId="563" xr:uid="{00000000-0005-0000-0000-0000B4010000}"/>
    <cellStyle name="40% - Accent1 7 3 2" xfId="1389" xr:uid="{82C76390-CC07-44DA-8998-9BEF8461DB10}"/>
    <cellStyle name="40% - Accent1 7 3 2 2" xfId="5521" xr:uid="{91A9E1A4-4D18-4B82-A994-1FC2066DA6B8}"/>
    <cellStyle name="40% - Accent1 7 3 3" xfId="2217" xr:uid="{399654C3-E0E9-4E59-AE00-81ABCBE0FE27}"/>
    <cellStyle name="40% - Accent1 7 3 3 2" xfId="6348" xr:uid="{8607B932-744E-4BFA-A020-49D3A7A59291}"/>
    <cellStyle name="40% - Accent1 7 3 4" xfId="3041" xr:uid="{F6943EC6-10DD-406E-9A45-D208C45CC0A9}"/>
    <cellStyle name="40% - Accent1 7 3 4 2" xfId="7172" xr:uid="{D57023E9-08A4-422C-B2A3-6C91CBA008B3}"/>
    <cellStyle name="40% - Accent1 7 3 5" xfId="3865" xr:uid="{7F17C708-826D-4929-B3D3-F4B19B4C9FED}"/>
    <cellStyle name="40% - Accent1 7 3 5 2" xfId="8024" xr:uid="{D45328D1-B0C5-40D3-B578-4C33D73253DE}"/>
    <cellStyle name="40% - Accent1 7 3 6" xfId="4695" xr:uid="{633F4660-7E5C-454B-92E7-FEA74823832F}"/>
    <cellStyle name="40% - Accent1 7 3 7" xfId="8871" xr:uid="{DE887BDB-170B-4482-BA01-D4EBEA8F0A9F}"/>
    <cellStyle name="40% - Accent1 7 4" xfId="971" xr:uid="{8CAD1417-07AF-46B0-9D49-D511E6C092FA}"/>
    <cellStyle name="40% - Accent1 7 4 2" xfId="5103" xr:uid="{E0DC57A9-F3B8-4E60-AC54-C62C74C728A1}"/>
    <cellStyle name="40% - Accent1 7 5" xfId="1799" xr:uid="{3307715B-6B00-46A2-B59A-7B9B639FD3C8}"/>
    <cellStyle name="40% - Accent1 7 5 2" xfId="5930" xr:uid="{4C97B82D-C906-4CEC-B0CB-D701D0574F12}"/>
    <cellStyle name="40% - Accent1 7 6" xfId="2623" xr:uid="{150A7C02-34B8-438D-8173-F423E5CC2624}"/>
    <cellStyle name="40% - Accent1 7 6 2" xfId="6754" xr:uid="{E259282F-4B3A-48CE-8778-57E37C8093A9}"/>
    <cellStyle name="40% - Accent1 7 7" xfId="3447" xr:uid="{6F8F27C2-0545-4B19-9A37-3F59C7572587}"/>
    <cellStyle name="40% - Accent1 7 7 2" xfId="7606" xr:uid="{23EA0D8B-4627-4467-BFDF-7EDC149F1209}"/>
    <cellStyle name="40% - Accent1 7 8" xfId="4277" xr:uid="{599FA7F6-9675-48FA-83DD-F16B16A20F81}"/>
    <cellStyle name="40% - Accent1 7 9" xfId="8453" xr:uid="{B039FCDB-ADD1-48EF-A359-57D7AEB35DA5}"/>
    <cellStyle name="40% - Accent1 8" xfId="237" xr:uid="{00000000-0005-0000-0000-0000B5010000}"/>
    <cellStyle name="40% - Accent1 8 2" xfId="655" xr:uid="{00000000-0005-0000-0000-0000B6010000}"/>
    <cellStyle name="40% - Accent1 8 2 2" xfId="1481" xr:uid="{DD2DFA9C-5E11-415E-B546-7CB4ECABE64B}"/>
    <cellStyle name="40% - Accent1 8 2 2 2" xfId="5613" xr:uid="{F2B7A55C-EE40-4D6E-9F7A-BCC13188AB87}"/>
    <cellStyle name="40% - Accent1 8 2 3" xfId="2309" xr:uid="{F6FFEE71-9DAF-469F-98D7-EAD619A253B2}"/>
    <cellStyle name="40% - Accent1 8 2 3 2" xfId="6440" xr:uid="{7E9D3684-89C8-4461-AD48-1B4513E825F6}"/>
    <cellStyle name="40% - Accent1 8 2 4" xfId="3133" xr:uid="{DEFE36DD-AADD-4AA0-BD71-4E69A5E49256}"/>
    <cellStyle name="40% - Accent1 8 2 4 2" xfId="7264" xr:uid="{D7EFEA93-73D4-4898-97D8-749BCCB0B5D8}"/>
    <cellStyle name="40% - Accent1 8 2 5" xfId="3957" xr:uid="{E0A140A7-7727-4324-A7C1-42FE42DA6E7B}"/>
    <cellStyle name="40% - Accent1 8 2 5 2" xfId="8116" xr:uid="{A27A38FA-934D-4F47-8C05-D95F7C1376C2}"/>
    <cellStyle name="40% - Accent1 8 2 6" xfId="4787" xr:uid="{56A2216E-9D53-4FC7-8E94-2866C8BCEF2A}"/>
    <cellStyle name="40% - Accent1 8 2 7" xfId="8963" xr:uid="{B61901DA-3B13-467E-B65E-F5E7F5AC8459}"/>
    <cellStyle name="40% - Accent1 8 3" xfId="1063" xr:uid="{BC7711F5-59CA-4BA3-9DFD-7A09E2A31B1B}"/>
    <cellStyle name="40% - Accent1 8 3 2" xfId="5195" xr:uid="{62E47711-DB5B-48D7-AA2B-F3A8E5AC708F}"/>
    <cellStyle name="40% - Accent1 8 4" xfId="1891" xr:uid="{8B886767-C7E2-4A76-A8C1-9A821FBF4852}"/>
    <cellStyle name="40% - Accent1 8 4 2" xfId="6022" xr:uid="{4AA3BB9C-B4A9-4B60-BCD8-14DE18958010}"/>
    <cellStyle name="40% - Accent1 8 5" xfId="2715" xr:uid="{019448BB-751D-4EB9-9E94-8DCC35DC9268}"/>
    <cellStyle name="40% - Accent1 8 5 2" xfId="6846" xr:uid="{73330865-B809-437F-BBB9-5C734F6746D2}"/>
    <cellStyle name="40% - Accent1 8 6" xfId="3539" xr:uid="{A00BA840-940C-4767-960D-26F2D5CC21B5}"/>
    <cellStyle name="40% - Accent1 8 6 2" xfId="7698" xr:uid="{ECB412C0-19B2-4DCD-969D-14C2170D660F}"/>
    <cellStyle name="40% - Accent1 8 7" xfId="4369" xr:uid="{C376EC9D-BB62-4513-A3BB-8CBFBE10A255}"/>
    <cellStyle name="40% - Accent1 8 8" xfId="8545" xr:uid="{E4A9E7BE-DA45-4D06-8D46-40458AE14640}"/>
    <cellStyle name="40% - Accent1 9" xfId="250" xr:uid="{00000000-0005-0000-0000-0000B7010000}"/>
    <cellStyle name="40% - Accent1 9 2" xfId="667" xr:uid="{00000000-0005-0000-0000-0000B8010000}"/>
    <cellStyle name="40% - Accent1 9 2 2" xfId="1493" xr:uid="{DFD72AB2-6B1E-4339-BD4C-6D85F4451DB7}"/>
    <cellStyle name="40% - Accent1 9 2 2 2" xfId="5625" xr:uid="{7A5CB4C2-AB9D-4409-95B5-028C449D39E6}"/>
    <cellStyle name="40% - Accent1 9 2 3" xfId="2321" xr:uid="{A671F865-BB76-4569-864C-36BF2F181328}"/>
    <cellStyle name="40% - Accent1 9 2 3 2" xfId="6452" xr:uid="{1A47843A-35FE-4977-8E20-360793E73FFA}"/>
    <cellStyle name="40% - Accent1 9 2 4" xfId="3145" xr:uid="{1D4A23B6-5971-4BC3-B462-FE64091D4EA5}"/>
    <cellStyle name="40% - Accent1 9 2 4 2" xfId="7276" xr:uid="{37811B21-6C21-48A7-A490-6496FCCB36F9}"/>
    <cellStyle name="40% - Accent1 9 2 5" xfId="3969" xr:uid="{30400B9A-504C-441D-9F92-429ED8A69675}"/>
    <cellStyle name="40% - Accent1 9 2 5 2" xfId="8128" xr:uid="{C6A0DA63-1763-48DB-86ED-D63919A435E9}"/>
    <cellStyle name="40% - Accent1 9 2 6" xfId="4799" xr:uid="{9F56DA39-0F21-412C-95B2-B1CFABF1A3AC}"/>
    <cellStyle name="40% - Accent1 9 2 7" xfId="8975" xr:uid="{96114B5E-10A1-45F2-B120-287210DF90EE}"/>
    <cellStyle name="40% - Accent1 9 3" xfId="1076" xr:uid="{49293457-5397-4AAF-8A94-80643BC8B67A}"/>
    <cellStyle name="40% - Accent1 9 3 2" xfId="5208" xr:uid="{8C12B62D-654D-4C5F-9127-2D9739411A6C}"/>
    <cellStyle name="40% - Accent1 9 4" xfId="1904" xr:uid="{848B2CC3-4467-43DC-A233-841E9CFE1950}"/>
    <cellStyle name="40% - Accent1 9 4 2" xfId="6035" xr:uid="{78862980-9597-427D-9D4F-D28EA3EF1B05}"/>
    <cellStyle name="40% - Accent1 9 5" xfId="2728" xr:uid="{402B5362-FEEA-47CC-B6DF-9693662EAF5F}"/>
    <cellStyle name="40% - Accent1 9 5 2" xfId="6859" xr:uid="{6E85E4E2-9843-4536-AEA5-8DD9CC94B69E}"/>
    <cellStyle name="40% - Accent1 9 6" xfId="3552" xr:uid="{564EC941-839B-43A5-9296-A95A464681C5}"/>
    <cellStyle name="40% - Accent1 9 6 2" xfId="7711" xr:uid="{822BB301-CC59-4446-A553-A80F60529AB2}"/>
    <cellStyle name="40% - Accent1 9 7" xfId="4382" xr:uid="{E6089555-0838-4131-A15B-4003D2021FC0}"/>
    <cellStyle name="40% - Accent1 9 8" xfId="8558" xr:uid="{AE4316DB-4B48-4531-84AC-AD93D4D15A6E}"/>
    <cellStyle name="40% - Accent2" xfId="27" builtinId="35" customBuiltin="1"/>
    <cellStyle name="40% - Accent2 10" xfId="448" xr:uid="{00000000-0005-0000-0000-0000BA010000}"/>
    <cellStyle name="40% - Accent2 10 2" xfId="1274" xr:uid="{BA01A3FD-8149-44C4-88CF-F7CCD702BC75}"/>
    <cellStyle name="40% - Accent2 10 2 2" xfId="5406" xr:uid="{F39D3C39-177F-4F67-9390-641607652D6F}"/>
    <cellStyle name="40% - Accent2 10 3" xfId="2102" xr:uid="{8C0EC4E9-B607-4AF1-B054-4289EACF6D06}"/>
    <cellStyle name="40% - Accent2 10 3 2" xfId="6233" xr:uid="{A869095B-01A5-426F-A3D1-AC78038435FA}"/>
    <cellStyle name="40% - Accent2 10 4" xfId="2926" xr:uid="{42F0C528-454D-4E46-8114-3AD1738DAD8B}"/>
    <cellStyle name="40% - Accent2 10 4 2" xfId="7057" xr:uid="{96E5466B-4229-40AD-B73F-C86D0707C7BB}"/>
    <cellStyle name="40% - Accent2 10 5" xfId="3750" xr:uid="{656FE111-FBC4-4B73-8C1B-9F7FFB1273EB}"/>
    <cellStyle name="40% - Accent2 10 5 2" xfId="7909" xr:uid="{9DE2229F-AD6B-4C66-9497-C6B0BC29568B}"/>
    <cellStyle name="40% - Accent2 10 6" xfId="4580" xr:uid="{22C429CD-EA4C-4BF5-8F54-2D8A19AFF91C}"/>
    <cellStyle name="40% - Accent2 10 7" xfId="8756" xr:uid="{A92427EB-DE58-42E7-ACDB-93532277C7BE}"/>
    <cellStyle name="40% - Accent2 11" xfId="461" xr:uid="{00000000-0005-0000-0000-0000BB010000}"/>
    <cellStyle name="40% - Accent2 11 2" xfId="1287" xr:uid="{0A80B36C-56BE-4CB4-B087-DC1920BF8415}"/>
    <cellStyle name="40% - Accent2 11 2 2" xfId="5419" xr:uid="{29B2340F-697D-4B8A-9786-21E2E6E59E8D}"/>
    <cellStyle name="40% - Accent2 11 3" xfId="2115" xr:uid="{ED1489A5-339F-48B4-B9C2-24F1D9A5D44B}"/>
    <cellStyle name="40% - Accent2 11 3 2" xfId="6246" xr:uid="{DF1A6AB5-5C76-4A52-8514-133DAAE08B8B}"/>
    <cellStyle name="40% - Accent2 11 4" xfId="2939" xr:uid="{AF03E5FF-C5B4-4CE8-A405-29874F6244C4}"/>
    <cellStyle name="40% - Accent2 11 4 2" xfId="7070" xr:uid="{BEEF79D0-96CB-49EA-B2DF-A9ACB158C743}"/>
    <cellStyle name="40% - Accent2 11 5" xfId="3763" xr:uid="{CD5F370C-5051-430D-9AC4-AAF6F11107BE}"/>
    <cellStyle name="40% - Accent2 11 5 2" xfId="7922" xr:uid="{4DA9C4E7-485D-4195-96B5-1480999465EA}"/>
    <cellStyle name="40% - Accent2 11 6" xfId="4593" xr:uid="{9DFC43AB-BA19-4374-9AE6-CC0510733EEA}"/>
    <cellStyle name="40% - Accent2 11 7" xfId="8769" xr:uid="{8E05953A-229C-4AA2-AC56-B7C1DB621D5D}"/>
    <cellStyle name="40% - Accent2 12" xfId="866" xr:uid="{0CFCDEE5-9FAE-4DE4-9357-F298005D2AAD}"/>
    <cellStyle name="40% - Accent2 12 2" xfId="4998" xr:uid="{62C1CDA5-618D-43C1-BD5C-59ABE3B99526}"/>
    <cellStyle name="40% - Accent2 13" xfId="1695" xr:uid="{7DB2AF78-0324-456D-9576-462ACE3F293B}"/>
    <cellStyle name="40% - Accent2 13 2" xfId="5826" xr:uid="{6A79254C-BFF5-4FD7-80A6-2EEE38414B8C}"/>
    <cellStyle name="40% - Accent2 14" xfId="2519" xr:uid="{1BFFCB92-2BB8-4F0A-B098-821E0594E76A}"/>
    <cellStyle name="40% - Accent2 14 2" xfId="6650" xr:uid="{E31E5401-BF3D-4B9C-8AA7-C55183DAD150}"/>
    <cellStyle name="40% - Accent2 15" xfId="3343" xr:uid="{60CACF8E-A0BE-4A92-BC0D-406DC67FFE60}"/>
    <cellStyle name="40% - Accent2 15 2" xfId="7502" xr:uid="{C36D4832-9465-46C4-B4D0-D9F50ED902E4}"/>
    <cellStyle name="40% - Accent2 16" xfId="4172" xr:uid="{B9D44785-D91D-47B1-83F1-9E50A1FA9676}"/>
    <cellStyle name="40% - Accent2 17" xfId="8349" xr:uid="{C9254570-97A3-4633-B4A9-8C674BD3FB15}"/>
    <cellStyle name="40% - Accent2 2" xfId="55" xr:uid="{00000000-0005-0000-0000-0000BC010000}"/>
    <cellStyle name="40% - Accent2 2 10" xfId="4187" xr:uid="{C0F2EA73-30B4-4123-82B8-6069E1C0D432}"/>
    <cellStyle name="40% - Accent2 2 11" xfId="8363" xr:uid="{8793784B-087D-4589-ADB9-CA0149AEFE58}"/>
    <cellStyle name="40% - Accent2 2 2" xfId="108" xr:uid="{00000000-0005-0000-0000-0000BD010000}"/>
    <cellStyle name="40% - Accent2 2 2 10" xfId="8416" xr:uid="{1DEC18EC-F33D-423B-9FBB-3BBD4D92D3B1}"/>
    <cellStyle name="40% - Accent2 2 2 2" xfId="213" xr:uid="{00000000-0005-0000-0000-0000BE010000}"/>
    <cellStyle name="40% - Accent2 2 2 2 2" xfId="422" xr:uid="{00000000-0005-0000-0000-0000BF010000}"/>
    <cellStyle name="40% - Accent2 2 2 2 2 2" xfId="839" xr:uid="{00000000-0005-0000-0000-0000C0010000}"/>
    <cellStyle name="40% - Accent2 2 2 2 2 2 2" xfId="1665" xr:uid="{EEEEF9FD-9053-4262-9980-F20D1EE4CD92}"/>
    <cellStyle name="40% - Accent2 2 2 2 2 2 2 2" xfId="5797" xr:uid="{9AA17E8F-00A1-410B-8368-F4D3B9CA6D9E}"/>
    <cellStyle name="40% - Accent2 2 2 2 2 2 3" xfId="2493" xr:uid="{0DDBB594-8A82-4A90-83EB-6B625D07DD23}"/>
    <cellStyle name="40% - Accent2 2 2 2 2 2 3 2" xfId="6624" xr:uid="{E7A0916F-D689-4EE7-BEC0-FA126289287D}"/>
    <cellStyle name="40% - Accent2 2 2 2 2 2 4" xfId="3317" xr:uid="{FCD6140C-2B38-44C7-A427-5388D67E7EF8}"/>
    <cellStyle name="40% - Accent2 2 2 2 2 2 4 2" xfId="7448" xr:uid="{EA81AAC1-BA3C-478C-BF76-BB8935653AC6}"/>
    <cellStyle name="40% - Accent2 2 2 2 2 2 5" xfId="4141" xr:uid="{990B82BA-B465-461F-90B7-75AB0B958BDC}"/>
    <cellStyle name="40% - Accent2 2 2 2 2 2 5 2" xfId="8300" xr:uid="{22638EC3-0E8A-4215-83A4-37D86FB8CF16}"/>
    <cellStyle name="40% - Accent2 2 2 2 2 2 6" xfId="4971" xr:uid="{71E727C6-E80B-4786-BECF-5A72E968ACCF}"/>
    <cellStyle name="40% - Accent2 2 2 2 2 2 7" xfId="9147" xr:uid="{10B01630-72C8-47D9-8F1C-2FF7ED7FDAB1}"/>
    <cellStyle name="40% - Accent2 2 2 2 2 3" xfId="1248" xr:uid="{28F52742-F1B4-4043-808F-BB38D9CAD953}"/>
    <cellStyle name="40% - Accent2 2 2 2 2 3 2" xfId="5380" xr:uid="{0CB899F8-7573-4817-BBE3-048198AA6C64}"/>
    <cellStyle name="40% - Accent2 2 2 2 2 4" xfId="2076" xr:uid="{21DEA9E9-EC67-4CA2-8B27-77754581EC02}"/>
    <cellStyle name="40% - Accent2 2 2 2 2 4 2" xfId="6207" xr:uid="{D261D5D6-8BB1-4D7A-9541-22B86B47FA2D}"/>
    <cellStyle name="40% - Accent2 2 2 2 2 5" xfId="2900" xr:uid="{77061CB9-E5DD-44C8-9C93-5CC1777EA274}"/>
    <cellStyle name="40% - Accent2 2 2 2 2 5 2" xfId="7031" xr:uid="{304BAAC0-3255-4667-9978-DEA311B11B84}"/>
    <cellStyle name="40% - Accent2 2 2 2 2 6" xfId="3724" xr:uid="{C7108CF5-D706-4D07-8FBD-B462BF48F0CD}"/>
    <cellStyle name="40% - Accent2 2 2 2 2 6 2" xfId="7883" xr:uid="{AC199EFC-3BDF-4FB3-8BF7-5E30DC2C7DA4}"/>
    <cellStyle name="40% - Accent2 2 2 2 2 7" xfId="4554" xr:uid="{B1DB2E6F-FE09-4FE1-9789-577685A4911B}"/>
    <cellStyle name="40% - Accent2 2 2 2 2 8" xfId="8730" xr:uid="{41821FDD-739A-414B-B248-C4EABA4F1261}"/>
    <cellStyle name="40% - Accent2 2 2 2 3" xfId="631" xr:uid="{00000000-0005-0000-0000-0000C1010000}"/>
    <cellStyle name="40% - Accent2 2 2 2 3 2" xfId="1457" xr:uid="{4F18E786-7788-46FE-A412-591AF15028F9}"/>
    <cellStyle name="40% - Accent2 2 2 2 3 2 2" xfId="5589" xr:uid="{89067886-3ADA-46F8-A133-80E3CE02A848}"/>
    <cellStyle name="40% - Accent2 2 2 2 3 3" xfId="2285" xr:uid="{87F29D9A-EB7C-4FC0-83AB-E03FB5263156}"/>
    <cellStyle name="40% - Accent2 2 2 2 3 3 2" xfId="6416" xr:uid="{6E810B6B-DDE9-43DD-9878-07C6CFB425ED}"/>
    <cellStyle name="40% - Accent2 2 2 2 3 4" xfId="3109" xr:uid="{5884FC6E-0FEE-4D88-B1C5-F96B58807A39}"/>
    <cellStyle name="40% - Accent2 2 2 2 3 4 2" xfId="7240" xr:uid="{51A3961D-AA2C-4EE0-93E6-DF1E8B458699}"/>
    <cellStyle name="40% - Accent2 2 2 2 3 5" xfId="3933" xr:uid="{AF76F536-BC10-4A95-A63D-004F03E95D98}"/>
    <cellStyle name="40% - Accent2 2 2 2 3 5 2" xfId="8092" xr:uid="{3A7B49C2-ACAE-4A53-9D87-FE371DFDF80F}"/>
    <cellStyle name="40% - Accent2 2 2 2 3 6" xfId="4763" xr:uid="{7FDAC218-0A2D-4F6E-9056-6F0425A71E88}"/>
    <cellStyle name="40% - Accent2 2 2 2 3 7" xfId="8939" xr:uid="{5764425D-E2D1-470B-82E8-5B40D9561ECF}"/>
    <cellStyle name="40% - Accent2 2 2 2 4" xfId="1039" xr:uid="{B8F176AF-A778-4A06-BF00-DE2D1B42AA07}"/>
    <cellStyle name="40% - Accent2 2 2 2 4 2" xfId="5171" xr:uid="{7CB921D2-2C0C-4C83-AC6E-71681ECF3792}"/>
    <cellStyle name="40% - Accent2 2 2 2 5" xfId="1867" xr:uid="{779DF89D-3D43-4C3C-A75F-2CB833F56602}"/>
    <cellStyle name="40% - Accent2 2 2 2 5 2" xfId="5998" xr:uid="{B68CBD92-1B5C-4FBD-922B-ADD02E1E8974}"/>
    <cellStyle name="40% - Accent2 2 2 2 6" xfId="2691" xr:uid="{03FE546B-F5BA-4561-921A-1D096C447419}"/>
    <cellStyle name="40% - Accent2 2 2 2 6 2" xfId="6822" xr:uid="{76B70ACC-E2A4-4BF1-AD35-5DE362B844B6}"/>
    <cellStyle name="40% - Accent2 2 2 2 7" xfId="3515" xr:uid="{8B71B31B-AC5E-43CB-A860-5A997804A327}"/>
    <cellStyle name="40% - Accent2 2 2 2 7 2" xfId="7674" xr:uid="{19EDE60B-511A-4F6B-832A-6FC179FB1745}"/>
    <cellStyle name="40% - Accent2 2 2 2 8" xfId="4345" xr:uid="{6E218635-3229-47FA-8229-14F3BBC45A08}"/>
    <cellStyle name="40% - Accent2 2 2 2 9" xfId="8521" xr:uid="{7AB66EB9-DF91-4C3D-847D-E662D8AE30DB}"/>
    <cellStyle name="40% - Accent2 2 2 3" xfId="318" xr:uid="{00000000-0005-0000-0000-0000C2010000}"/>
    <cellStyle name="40% - Accent2 2 2 3 2" xfId="735" xr:uid="{00000000-0005-0000-0000-0000C3010000}"/>
    <cellStyle name="40% - Accent2 2 2 3 2 2" xfId="1561" xr:uid="{C47A3BC0-B3EA-43DA-B62C-C275D82135A3}"/>
    <cellStyle name="40% - Accent2 2 2 3 2 2 2" xfId="5693" xr:uid="{B266B7FA-96A3-4067-AD8E-5E3CB355A2A7}"/>
    <cellStyle name="40% - Accent2 2 2 3 2 3" xfId="2389" xr:uid="{4AE5CF4E-82D8-4302-8B37-4921F58935D1}"/>
    <cellStyle name="40% - Accent2 2 2 3 2 3 2" xfId="6520" xr:uid="{FD36543E-9B00-468E-9642-E431F5E85271}"/>
    <cellStyle name="40% - Accent2 2 2 3 2 4" xfId="3213" xr:uid="{06EC04CE-43A6-4549-84A2-3222A371B838}"/>
    <cellStyle name="40% - Accent2 2 2 3 2 4 2" xfId="7344" xr:uid="{43C515A1-7F6E-4DDC-887B-CAF985EFCD5C}"/>
    <cellStyle name="40% - Accent2 2 2 3 2 5" xfId="4037" xr:uid="{C86B9896-C137-479F-A917-4F2DC79B08AE}"/>
    <cellStyle name="40% - Accent2 2 2 3 2 5 2" xfId="8196" xr:uid="{362892C3-6DEB-4C90-B1B0-CEBF3924D8B2}"/>
    <cellStyle name="40% - Accent2 2 2 3 2 6" xfId="4867" xr:uid="{25BCB21A-F1A0-493B-936C-5F8173C6D1A5}"/>
    <cellStyle name="40% - Accent2 2 2 3 2 7" xfId="9043" xr:uid="{CFEAFAB9-4282-4CAC-B9A2-B6931D355057}"/>
    <cellStyle name="40% - Accent2 2 2 3 3" xfId="1144" xr:uid="{D94B5AC2-2DD7-43BD-A247-06EA5F7B3393}"/>
    <cellStyle name="40% - Accent2 2 2 3 3 2" xfId="5276" xr:uid="{E07A7E1C-6291-4ECD-9AC9-8032B0F8C626}"/>
    <cellStyle name="40% - Accent2 2 2 3 4" xfId="1972" xr:uid="{64920358-332C-4439-B60B-2D565E0560C2}"/>
    <cellStyle name="40% - Accent2 2 2 3 4 2" xfId="6103" xr:uid="{C2666766-9960-4CB8-98AE-AFE6C23FE2B1}"/>
    <cellStyle name="40% - Accent2 2 2 3 5" xfId="2796" xr:uid="{7001CC1F-DD02-4716-A461-4FFC6783D706}"/>
    <cellStyle name="40% - Accent2 2 2 3 5 2" xfId="6927" xr:uid="{092BC5DB-0110-4512-8D37-5C98883472B4}"/>
    <cellStyle name="40% - Accent2 2 2 3 6" xfId="3620" xr:uid="{ECB342D5-D91F-4AF0-A6D9-078B9C1C604C}"/>
    <cellStyle name="40% - Accent2 2 2 3 6 2" xfId="7779" xr:uid="{3B48ACA7-0D70-4F22-8E73-05FEC0A6F192}"/>
    <cellStyle name="40% - Accent2 2 2 3 7" xfId="4450" xr:uid="{21862081-F4FB-4D16-8931-496FED043526}"/>
    <cellStyle name="40% - Accent2 2 2 3 8" xfId="8626" xr:uid="{A233C79D-984C-4D14-87E5-E0922B4C7FCF}"/>
    <cellStyle name="40% - Accent2 2 2 4" xfId="527" xr:uid="{00000000-0005-0000-0000-0000C4010000}"/>
    <cellStyle name="40% - Accent2 2 2 4 2" xfId="1353" xr:uid="{5AD484A9-FC8D-4B4A-B0BA-7D42E16F682E}"/>
    <cellStyle name="40% - Accent2 2 2 4 2 2" xfId="5485" xr:uid="{F8D6A472-D539-482D-B4C8-0C314DC327E7}"/>
    <cellStyle name="40% - Accent2 2 2 4 3" xfId="2181" xr:uid="{E814C8C8-3A24-4513-807B-94E391CE144E}"/>
    <cellStyle name="40% - Accent2 2 2 4 3 2" xfId="6312" xr:uid="{9E4FDE3C-8396-432F-8799-1E5EE3494E56}"/>
    <cellStyle name="40% - Accent2 2 2 4 4" xfId="3005" xr:uid="{FF664352-6DDE-4718-AEEB-0E3C5985E5B3}"/>
    <cellStyle name="40% - Accent2 2 2 4 4 2" xfId="7136" xr:uid="{702A505B-01BB-4BAE-AAD2-261FE6C49A6C}"/>
    <cellStyle name="40% - Accent2 2 2 4 5" xfId="3829" xr:uid="{6068C6EF-07F3-4C4D-A73D-1253EECA2A18}"/>
    <cellStyle name="40% - Accent2 2 2 4 5 2" xfId="7988" xr:uid="{845745D8-6F27-4288-8BE1-A2E8F6E3D1D7}"/>
    <cellStyle name="40% - Accent2 2 2 4 6" xfId="4659" xr:uid="{CD756A12-2B05-4DE4-B0C9-FEFCB2E64306}"/>
    <cellStyle name="40% - Accent2 2 2 4 7" xfId="8835" xr:uid="{059FD195-A8EA-4BEB-AAC4-F5618DD3EE59}"/>
    <cellStyle name="40% - Accent2 2 2 5" xfId="934" xr:uid="{909C37DF-D45E-49A1-A5AF-852632A7216B}"/>
    <cellStyle name="40% - Accent2 2 2 5 2" xfId="5066" xr:uid="{1BD1F4F8-1826-4774-B42A-6D5C915A1428}"/>
    <cellStyle name="40% - Accent2 2 2 6" xfId="1762" xr:uid="{37B33E14-252D-4372-B57B-04B38F550A1A}"/>
    <cellStyle name="40% - Accent2 2 2 6 2" xfId="5893" xr:uid="{17AEE1EE-2013-41A0-BDC7-3815E80A659D}"/>
    <cellStyle name="40% - Accent2 2 2 7" xfId="2586" xr:uid="{B1D4BED4-1ACF-4F58-BF98-A6B1364305AB}"/>
    <cellStyle name="40% - Accent2 2 2 7 2" xfId="6717" xr:uid="{4CE32BE7-FD03-42D2-A32B-5AA6A5073762}"/>
    <cellStyle name="40% - Accent2 2 2 8" xfId="3410" xr:uid="{BC855BCA-788A-456A-9B7C-0436A229BD06}"/>
    <cellStyle name="40% - Accent2 2 2 8 2" xfId="7569" xr:uid="{FB6EB1EE-3C27-4046-ADA2-CF72AC959404}"/>
    <cellStyle name="40% - Accent2 2 2 9" xfId="4240" xr:uid="{4E8216E8-A3E1-4ED2-A6B9-D202BD879AB4}"/>
    <cellStyle name="40% - Accent2 2 3" xfId="161" xr:uid="{00000000-0005-0000-0000-0000C5010000}"/>
    <cellStyle name="40% - Accent2 2 3 2" xfId="370" xr:uid="{00000000-0005-0000-0000-0000C6010000}"/>
    <cellStyle name="40% - Accent2 2 3 2 2" xfId="787" xr:uid="{00000000-0005-0000-0000-0000C7010000}"/>
    <cellStyle name="40% - Accent2 2 3 2 2 2" xfId="1613" xr:uid="{87DF1E3B-1096-47C1-9F12-78E986E5DEE2}"/>
    <cellStyle name="40% - Accent2 2 3 2 2 2 2" xfId="5745" xr:uid="{F5F26018-1210-449F-8A3F-AEA7A80FF501}"/>
    <cellStyle name="40% - Accent2 2 3 2 2 3" xfId="2441" xr:uid="{51DD3B71-F040-43A0-9076-3E66B3DABC8D}"/>
    <cellStyle name="40% - Accent2 2 3 2 2 3 2" xfId="6572" xr:uid="{2BA489FB-5B2D-4711-B944-E57425F7A229}"/>
    <cellStyle name="40% - Accent2 2 3 2 2 4" xfId="3265" xr:uid="{DC00DCDA-F02D-4A9E-B1CA-AD71DB233336}"/>
    <cellStyle name="40% - Accent2 2 3 2 2 4 2" xfId="7396" xr:uid="{4F94A3ED-EABE-448C-872B-4F3687B9C4CA}"/>
    <cellStyle name="40% - Accent2 2 3 2 2 5" xfId="4089" xr:uid="{5C0B975F-F941-40A2-8A3F-9E3059E76A78}"/>
    <cellStyle name="40% - Accent2 2 3 2 2 5 2" xfId="8248" xr:uid="{72B74BD8-EFA4-4E68-AC31-2D1F37CFF38B}"/>
    <cellStyle name="40% - Accent2 2 3 2 2 6" xfId="4919" xr:uid="{B0EAECE4-23DF-48A8-B1B8-027DBD9EEF1A}"/>
    <cellStyle name="40% - Accent2 2 3 2 2 7" xfId="9095" xr:uid="{0C9F38E1-1F73-4388-A600-E4E416A1BD66}"/>
    <cellStyle name="40% - Accent2 2 3 2 3" xfId="1196" xr:uid="{F62B9BD0-453E-4AB7-ABB1-E3244EFE1C30}"/>
    <cellStyle name="40% - Accent2 2 3 2 3 2" xfId="5328" xr:uid="{2C0B6BD6-DF78-457A-A4A6-ACD8E77DF034}"/>
    <cellStyle name="40% - Accent2 2 3 2 4" xfId="2024" xr:uid="{10197E76-7C6B-4167-A6F6-991FDFF27B0D}"/>
    <cellStyle name="40% - Accent2 2 3 2 4 2" xfId="6155" xr:uid="{90842FA9-6CF7-4D13-9307-7C8B50E13A4B}"/>
    <cellStyle name="40% - Accent2 2 3 2 5" xfId="2848" xr:uid="{7E86012B-7BCE-4DC3-A82B-706CDE8CF876}"/>
    <cellStyle name="40% - Accent2 2 3 2 5 2" xfId="6979" xr:uid="{9A9BB888-7FCD-4C6A-837B-0F7FCF659E5D}"/>
    <cellStyle name="40% - Accent2 2 3 2 6" xfId="3672" xr:uid="{25DCEDB8-A44C-4356-AB7D-123930D901E2}"/>
    <cellStyle name="40% - Accent2 2 3 2 6 2" xfId="7831" xr:uid="{9A973C01-DE68-4111-BEAC-B97AA18323BE}"/>
    <cellStyle name="40% - Accent2 2 3 2 7" xfId="4502" xr:uid="{6EF16DD1-F643-4A59-A7E3-95A529CB5147}"/>
    <cellStyle name="40% - Accent2 2 3 2 8" xfId="8678" xr:uid="{E37E21D8-3F90-48BA-9F2F-224E361DE921}"/>
    <cellStyle name="40% - Accent2 2 3 3" xfId="579" xr:uid="{00000000-0005-0000-0000-0000C8010000}"/>
    <cellStyle name="40% - Accent2 2 3 3 2" xfId="1405" xr:uid="{B5B71A35-8B1A-4201-9811-0DC8F8BB4303}"/>
    <cellStyle name="40% - Accent2 2 3 3 2 2" xfId="5537" xr:uid="{6630D779-8EDD-4A0C-A92C-7901E715DB31}"/>
    <cellStyle name="40% - Accent2 2 3 3 3" xfId="2233" xr:uid="{0C51383A-AFE0-4340-AA3D-16FCC0D40648}"/>
    <cellStyle name="40% - Accent2 2 3 3 3 2" xfId="6364" xr:uid="{D635DF30-AD13-4D95-96B0-3C9972833FD7}"/>
    <cellStyle name="40% - Accent2 2 3 3 4" xfId="3057" xr:uid="{6591BC9E-D259-424C-B6DB-8C1ADF9550B9}"/>
    <cellStyle name="40% - Accent2 2 3 3 4 2" xfId="7188" xr:uid="{2C188FB3-2239-47B2-B4E3-FCFC36EFBCB9}"/>
    <cellStyle name="40% - Accent2 2 3 3 5" xfId="3881" xr:uid="{F43DE2FD-A6FD-4CC9-A22B-555F7179C127}"/>
    <cellStyle name="40% - Accent2 2 3 3 5 2" xfId="8040" xr:uid="{85342F0F-24DE-4F56-8215-95F5928A8306}"/>
    <cellStyle name="40% - Accent2 2 3 3 6" xfId="4711" xr:uid="{0CC2991E-11E8-476C-98A9-63F64CA43DDD}"/>
    <cellStyle name="40% - Accent2 2 3 3 7" xfId="8887" xr:uid="{522F6B85-006D-4C36-8691-20316492F23B}"/>
    <cellStyle name="40% - Accent2 2 3 4" xfId="987" xr:uid="{32B4EED4-859A-4AB6-813E-ED6C80FE2666}"/>
    <cellStyle name="40% - Accent2 2 3 4 2" xfId="5119" xr:uid="{3CA492B4-D441-4928-808D-FE8BCEDF30EE}"/>
    <cellStyle name="40% - Accent2 2 3 5" xfId="1815" xr:uid="{6BA75B81-9979-48A8-A7CC-E606E261F84F}"/>
    <cellStyle name="40% - Accent2 2 3 5 2" xfId="5946" xr:uid="{39240FC3-0494-426A-9853-BCA47B9E33A1}"/>
    <cellStyle name="40% - Accent2 2 3 6" xfId="2639" xr:uid="{E9606BFE-35EA-4C81-8AB1-8D84E2FF5758}"/>
    <cellStyle name="40% - Accent2 2 3 6 2" xfId="6770" xr:uid="{E53ED848-1A35-4025-9708-EACF8E06276C}"/>
    <cellStyle name="40% - Accent2 2 3 7" xfId="3463" xr:uid="{167314C9-F72C-43D9-A3F8-10EF2CBA31C6}"/>
    <cellStyle name="40% - Accent2 2 3 7 2" xfId="7622" xr:uid="{BB764A4B-84C8-4899-9591-E3FE0DF26EB9}"/>
    <cellStyle name="40% - Accent2 2 3 8" xfId="4293" xr:uid="{CA861ECC-458C-451D-84F4-1772D4E5B280}"/>
    <cellStyle name="40% - Accent2 2 3 9" xfId="8469" xr:uid="{BCF29DCE-2738-4E43-B340-FBCC4E81E46C}"/>
    <cellStyle name="40% - Accent2 2 4" xfId="266" xr:uid="{00000000-0005-0000-0000-0000C9010000}"/>
    <cellStyle name="40% - Accent2 2 4 2" xfId="683" xr:uid="{00000000-0005-0000-0000-0000CA010000}"/>
    <cellStyle name="40% - Accent2 2 4 2 2" xfId="1509" xr:uid="{D2B155C4-1143-45FC-A9C6-158BA45CAA6E}"/>
    <cellStyle name="40% - Accent2 2 4 2 2 2" xfId="5641" xr:uid="{A58875F9-CB71-4928-9DE7-7E94A23B6C30}"/>
    <cellStyle name="40% - Accent2 2 4 2 3" xfId="2337" xr:uid="{ACDF61F5-D4D7-4E55-BE69-2273E913DF8A}"/>
    <cellStyle name="40% - Accent2 2 4 2 3 2" xfId="6468" xr:uid="{ABE50AF8-24D1-4B13-AD7D-0993DAF70FCB}"/>
    <cellStyle name="40% - Accent2 2 4 2 4" xfId="3161" xr:uid="{DF7C516F-7468-4CBE-81A6-69A55AE97360}"/>
    <cellStyle name="40% - Accent2 2 4 2 4 2" xfId="7292" xr:uid="{2FF36D97-3154-4EC4-9EBD-DD6295609791}"/>
    <cellStyle name="40% - Accent2 2 4 2 5" xfId="3985" xr:uid="{CBB2848D-9331-48A6-B531-879A848C7406}"/>
    <cellStyle name="40% - Accent2 2 4 2 5 2" xfId="8144" xr:uid="{1442F97C-163C-4BC4-886B-677F8AD1C268}"/>
    <cellStyle name="40% - Accent2 2 4 2 6" xfId="4815" xr:uid="{061C87F7-9DE3-42BA-B120-18E634686183}"/>
    <cellStyle name="40% - Accent2 2 4 2 7" xfId="8991" xr:uid="{57C06D64-9D11-41BC-B695-BE8D612A12FC}"/>
    <cellStyle name="40% - Accent2 2 4 3" xfId="1092" xr:uid="{5D23059C-8206-4238-8421-84D59E258E75}"/>
    <cellStyle name="40% - Accent2 2 4 3 2" xfId="5224" xr:uid="{E471F8E8-C71C-43C9-B9EC-54D3A541D58A}"/>
    <cellStyle name="40% - Accent2 2 4 4" xfId="1920" xr:uid="{C147AFD1-3784-4DEE-B8F8-D6339AF8899F}"/>
    <cellStyle name="40% - Accent2 2 4 4 2" xfId="6051" xr:uid="{F74652F4-1249-4F9B-B627-BC8B74DCD2BE}"/>
    <cellStyle name="40% - Accent2 2 4 5" xfId="2744" xr:uid="{A61C0FE8-791F-4902-B3C8-7AD40FE909A3}"/>
    <cellStyle name="40% - Accent2 2 4 5 2" xfId="6875" xr:uid="{28B62AD1-F7A3-4B20-A555-9C660E5F5E54}"/>
    <cellStyle name="40% - Accent2 2 4 6" xfId="3568" xr:uid="{95700399-CB7A-4414-ACAB-0B48955A6ACD}"/>
    <cellStyle name="40% - Accent2 2 4 6 2" xfId="7727" xr:uid="{A547A496-F6DB-46B8-AC39-BD8EB8F810EE}"/>
    <cellStyle name="40% - Accent2 2 4 7" xfId="4398" xr:uid="{BF000D9B-09BD-45EC-AC18-BD793B3842E0}"/>
    <cellStyle name="40% - Accent2 2 4 8" xfId="8574" xr:uid="{C753CACD-A263-48E4-8DB1-231E7CF526FB}"/>
    <cellStyle name="40% - Accent2 2 5" xfId="475" xr:uid="{00000000-0005-0000-0000-0000CB010000}"/>
    <cellStyle name="40% - Accent2 2 5 2" xfId="1301" xr:uid="{6F71FE85-A92C-4C0C-BA57-A131F1042EE9}"/>
    <cellStyle name="40% - Accent2 2 5 2 2" xfId="5433" xr:uid="{5D4B58BE-1D99-4F8F-9509-12E5973DD528}"/>
    <cellStyle name="40% - Accent2 2 5 3" xfId="2129" xr:uid="{E28EBF34-8F43-4897-95D9-9678E970BF08}"/>
    <cellStyle name="40% - Accent2 2 5 3 2" xfId="6260" xr:uid="{A2566692-2E3E-488D-869E-11C644C345F4}"/>
    <cellStyle name="40% - Accent2 2 5 4" xfId="2953" xr:uid="{8FA50248-9FA8-49F4-8776-C408E13219F5}"/>
    <cellStyle name="40% - Accent2 2 5 4 2" xfId="7084" xr:uid="{7135BE6C-4A06-46FE-93BB-65CF1068BC4C}"/>
    <cellStyle name="40% - Accent2 2 5 5" xfId="3777" xr:uid="{7CC913FF-5898-409E-8568-A9ABFE0E30B0}"/>
    <cellStyle name="40% - Accent2 2 5 5 2" xfId="7936" xr:uid="{428EBDB6-3F3F-4AFE-AC8A-0FFC2D3504E5}"/>
    <cellStyle name="40% - Accent2 2 5 6" xfId="4607" xr:uid="{FD90698D-818D-45A2-A6E4-FD95C81F2B8C}"/>
    <cellStyle name="40% - Accent2 2 5 7" xfId="8783" xr:uid="{1572533F-CCCD-4DD8-B9E9-0BDFC739489B}"/>
    <cellStyle name="40% - Accent2 2 6" xfId="881" xr:uid="{A24FC5AF-2430-4B08-8424-FADFA018D39D}"/>
    <cellStyle name="40% - Accent2 2 6 2" xfId="5013" xr:uid="{670884CB-47E5-464D-A462-AD3F1A916FAA}"/>
    <cellStyle name="40% - Accent2 2 7" xfId="1709" xr:uid="{EB389031-D965-4AEE-AC2E-F1E96A5920EF}"/>
    <cellStyle name="40% - Accent2 2 7 2" xfId="5840" xr:uid="{C56B9237-CD3F-4792-ACA3-DDB6A4FBC2E5}"/>
    <cellStyle name="40% - Accent2 2 8" xfId="2533" xr:uid="{DAE095A3-DD7C-4AF6-BDE2-DD6635F5E1CB}"/>
    <cellStyle name="40% - Accent2 2 8 2" xfId="6664" xr:uid="{3D636C3E-C552-4088-B00E-E6A132A2EFBC}"/>
    <cellStyle name="40% - Accent2 2 9" xfId="3357" xr:uid="{C1501572-F6C2-4562-8F5A-9B50E58D561E}"/>
    <cellStyle name="40% - Accent2 2 9 2" xfId="7516" xr:uid="{09767856-5918-4A4B-8D34-9606DAA96414}"/>
    <cellStyle name="40% - Accent2 3" xfId="68" xr:uid="{00000000-0005-0000-0000-0000CC010000}"/>
    <cellStyle name="40% - Accent2 3 10" xfId="4200" xr:uid="{1C2913A1-D3A1-47FC-91E1-F904128BC890}"/>
    <cellStyle name="40% - Accent2 3 11" xfId="8376" xr:uid="{40FEC8CA-9C83-4FB3-95D1-56BCCA5BBB92}"/>
    <cellStyle name="40% - Accent2 3 2" xfId="121" xr:uid="{00000000-0005-0000-0000-0000CD010000}"/>
    <cellStyle name="40% - Accent2 3 2 10" xfId="8429" xr:uid="{5D548B59-2058-4BD0-8775-848EC0BE81FC}"/>
    <cellStyle name="40% - Accent2 3 2 2" xfId="226" xr:uid="{00000000-0005-0000-0000-0000CE010000}"/>
    <cellStyle name="40% - Accent2 3 2 2 2" xfId="435" xr:uid="{00000000-0005-0000-0000-0000CF010000}"/>
    <cellStyle name="40% - Accent2 3 2 2 2 2" xfId="852" xr:uid="{00000000-0005-0000-0000-0000D0010000}"/>
    <cellStyle name="40% - Accent2 3 2 2 2 2 2" xfId="1678" xr:uid="{2D9FD1BB-E607-49EE-BD5E-A5D43895C827}"/>
    <cellStyle name="40% - Accent2 3 2 2 2 2 2 2" xfId="5810" xr:uid="{044B281C-E8A6-4746-B894-18115F4F348F}"/>
    <cellStyle name="40% - Accent2 3 2 2 2 2 3" xfId="2506" xr:uid="{7952B577-E62D-4CDC-AEAE-143586B26582}"/>
    <cellStyle name="40% - Accent2 3 2 2 2 2 3 2" xfId="6637" xr:uid="{41F25995-8D16-4B19-A31A-5BCFE84EC630}"/>
    <cellStyle name="40% - Accent2 3 2 2 2 2 4" xfId="3330" xr:uid="{7A6DAB23-AD23-41BD-A24E-130DD3406146}"/>
    <cellStyle name="40% - Accent2 3 2 2 2 2 4 2" xfId="7461" xr:uid="{B7AB134A-4933-49CE-997B-9EADD1F7C749}"/>
    <cellStyle name="40% - Accent2 3 2 2 2 2 5" xfId="4154" xr:uid="{1BEC2B6C-52D3-4C28-85F8-39C0B2749687}"/>
    <cellStyle name="40% - Accent2 3 2 2 2 2 5 2" xfId="8313" xr:uid="{D5709771-CA55-4148-A18A-2EAF5607CDAA}"/>
    <cellStyle name="40% - Accent2 3 2 2 2 2 6" xfId="4984" xr:uid="{6C45C30F-C462-4919-874B-552B4A19872B}"/>
    <cellStyle name="40% - Accent2 3 2 2 2 2 7" xfId="9160" xr:uid="{E64CE712-22B0-489A-86BF-2A026D53C00C}"/>
    <cellStyle name="40% - Accent2 3 2 2 2 3" xfId="1261" xr:uid="{D20B4347-942C-4B7C-88EE-FAE1F485FDA5}"/>
    <cellStyle name="40% - Accent2 3 2 2 2 3 2" xfId="5393" xr:uid="{893A3898-A7FF-40EC-A1F9-7A07ADF21D8D}"/>
    <cellStyle name="40% - Accent2 3 2 2 2 4" xfId="2089" xr:uid="{8EB6E8D7-A810-4570-BF46-27676424A402}"/>
    <cellStyle name="40% - Accent2 3 2 2 2 4 2" xfId="6220" xr:uid="{EE4DBC31-0824-4068-9B57-80050F433E54}"/>
    <cellStyle name="40% - Accent2 3 2 2 2 5" xfId="2913" xr:uid="{671F8676-FAC7-422D-9EAF-537F530C51C3}"/>
    <cellStyle name="40% - Accent2 3 2 2 2 5 2" xfId="7044" xr:uid="{E3FB4471-1076-4E2C-83E6-F2F7BAF9C82C}"/>
    <cellStyle name="40% - Accent2 3 2 2 2 6" xfId="3737" xr:uid="{4815C493-4089-4A2C-B9F6-7710D9C8A27E}"/>
    <cellStyle name="40% - Accent2 3 2 2 2 6 2" xfId="7896" xr:uid="{A06FAFC5-98D5-483F-9F61-F02E6145C1F2}"/>
    <cellStyle name="40% - Accent2 3 2 2 2 7" xfId="4567" xr:uid="{C60C27C5-9690-42F7-962D-F3731E72E3AE}"/>
    <cellStyle name="40% - Accent2 3 2 2 2 8" xfId="8743" xr:uid="{9782D736-3603-4B8D-8090-B25B336F919C}"/>
    <cellStyle name="40% - Accent2 3 2 2 3" xfId="644" xr:uid="{00000000-0005-0000-0000-0000D1010000}"/>
    <cellStyle name="40% - Accent2 3 2 2 3 2" xfId="1470" xr:uid="{0AA184BC-EAA7-47C1-B355-941C916E3990}"/>
    <cellStyle name="40% - Accent2 3 2 2 3 2 2" xfId="5602" xr:uid="{3C97411D-D716-4E82-AEC5-A7652FCB832D}"/>
    <cellStyle name="40% - Accent2 3 2 2 3 3" xfId="2298" xr:uid="{D91246AD-CB69-47E8-9724-A88A8B0F3E4E}"/>
    <cellStyle name="40% - Accent2 3 2 2 3 3 2" xfId="6429" xr:uid="{A0686CA4-210F-42AF-AE93-3C82FDFB747C}"/>
    <cellStyle name="40% - Accent2 3 2 2 3 4" xfId="3122" xr:uid="{B22B677B-5379-40AC-AD48-EED1BE028855}"/>
    <cellStyle name="40% - Accent2 3 2 2 3 4 2" xfId="7253" xr:uid="{6929136E-E0C0-4104-892C-1C3EEA3BAC69}"/>
    <cellStyle name="40% - Accent2 3 2 2 3 5" xfId="3946" xr:uid="{01D735D8-3607-4977-AD12-3DD261AA95B1}"/>
    <cellStyle name="40% - Accent2 3 2 2 3 5 2" xfId="8105" xr:uid="{EACBCE89-2CEA-4E66-9DCE-40AF367E3831}"/>
    <cellStyle name="40% - Accent2 3 2 2 3 6" xfId="4776" xr:uid="{A41BDF14-F95C-40EC-82E6-4A5F57AB9EE0}"/>
    <cellStyle name="40% - Accent2 3 2 2 3 7" xfId="8952" xr:uid="{26C23FF5-F85A-481C-B88F-D50A391B9CD5}"/>
    <cellStyle name="40% - Accent2 3 2 2 4" xfId="1052" xr:uid="{CF9E9683-C1DA-4C09-A8B9-35FC9DF9887A}"/>
    <cellStyle name="40% - Accent2 3 2 2 4 2" xfId="5184" xr:uid="{FDF6A641-AB19-44BF-AF1D-0B2EC47F9D6A}"/>
    <cellStyle name="40% - Accent2 3 2 2 5" xfId="1880" xr:uid="{7132DF8F-1941-4D50-844F-A6445013ABBB}"/>
    <cellStyle name="40% - Accent2 3 2 2 5 2" xfId="6011" xr:uid="{D9F9CE52-BB33-4BAB-B571-1F6241A15756}"/>
    <cellStyle name="40% - Accent2 3 2 2 6" xfId="2704" xr:uid="{D24B032A-010E-40C4-8B59-3AAED738AF5B}"/>
    <cellStyle name="40% - Accent2 3 2 2 6 2" xfId="6835" xr:uid="{4E302BF4-9079-4331-9AF1-BB7AF98E300C}"/>
    <cellStyle name="40% - Accent2 3 2 2 7" xfId="3528" xr:uid="{81CE440D-6345-4DEA-BB8E-91F3B5ADEAA1}"/>
    <cellStyle name="40% - Accent2 3 2 2 7 2" xfId="7687" xr:uid="{37EB3E2D-72BF-4A44-A210-239790C80973}"/>
    <cellStyle name="40% - Accent2 3 2 2 8" xfId="4358" xr:uid="{7C5EDF29-49FA-4A91-9445-BAA3FCD3BF7C}"/>
    <cellStyle name="40% - Accent2 3 2 2 9" xfId="8534" xr:uid="{4C6B5A01-A091-470A-9B20-E9F36C367517}"/>
    <cellStyle name="40% - Accent2 3 2 3" xfId="331" xr:uid="{00000000-0005-0000-0000-0000D2010000}"/>
    <cellStyle name="40% - Accent2 3 2 3 2" xfId="748" xr:uid="{00000000-0005-0000-0000-0000D3010000}"/>
    <cellStyle name="40% - Accent2 3 2 3 2 2" xfId="1574" xr:uid="{AB4504B3-C87C-47E2-9EB9-915757AE8965}"/>
    <cellStyle name="40% - Accent2 3 2 3 2 2 2" xfId="5706" xr:uid="{67C1D3D0-7140-4363-838F-00F7F5CBA662}"/>
    <cellStyle name="40% - Accent2 3 2 3 2 3" xfId="2402" xr:uid="{88CBD8AA-2525-4B21-876F-C6B742BD8603}"/>
    <cellStyle name="40% - Accent2 3 2 3 2 3 2" xfId="6533" xr:uid="{7A0EBDBA-EB34-4F29-9404-6E8430FA0E50}"/>
    <cellStyle name="40% - Accent2 3 2 3 2 4" xfId="3226" xr:uid="{CC8E7642-3A8A-44E4-8CBF-E82AEC26F840}"/>
    <cellStyle name="40% - Accent2 3 2 3 2 4 2" xfId="7357" xr:uid="{DF0437A7-C49E-4115-8AD4-DBBDC5DA30FC}"/>
    <cellStyle name="40% - Accent2 3 2 3 2 5" xfId="4050" xr:uid="{DAAAD017-6D7A-4757-9E71-7B75471F5939}"/>
    <cellStyle name="40% - Accent2 3 2 3 2 5 2" xfId="8209" xr:uid="{820DA4D4-0A9D-4281-853A-B6ACB368FA3D}"/>
    <cellStyle name="40% - Accent2 3 2 3 2 6" xfId="4880" xr:uid="{7E5A28FC-F8EE-4603-8F3F-041EA9AA80CD}"/>
    <cellStyle name="40% - Accent2 3 2 3 2 7" xfId="9056" xr:uid="{62E271A7-34A1-4F59-998A-1E73A95D21F3}"/>
    <cellStyle name="40% - Accent2 3 2 3 3" xfId="1157" xr:uid="{9C6BA364-C0F3-4DB2-B91F-221976404481}"/>
    <cellStyle name="40% - Accent2 3 2 3 3 2" xfId="5289" xr:uid="{0EA237C7-3E4E-4A7F-9933-74474395C7A0}"/>
    <cellStyle name="40% - Accent2 3 2 3 4" xfId="1985" xr:uid="{8A1F577D-909A-4E2F-B159-841C15575930}"/>
    <cellStyle name="40% - Accent2 3 2 3 4 2" xfId="6116" xr:uid="{24CFDF36-1B51-429C-82F1-87FC6EC57B54}"/>
    <cellStyle name="40% - Accent2 3 2 3 5" xfId="2809" xr:uid="{136AD181-157C-4AD7-B734-91EBF02999AD}"/>
    <cellStyle name="40% - Accent2 3 2 3 5 2" xfId="6940" xr:uid="{1D17FDF2-071A-4BFB-AA44-D42695F3D526}"/>
    <cellStyle name="40% - Accent2 3 2 3 6" xfId="3633" xr:uid="{8F8CDFE4-F019-4EF8-AFA5-E9B72F796807}"/>
    <cellStyle name="40% - Accent2 3 2 3 6 2" xfId="7792" xr:uid="{48FD180A-2E26-4FCA-A43C-D35887B0EA63}"/>
    <cellStyle name="40% - Accent2 3 2 3 7" xfId="4463" xr:uid="{D8B8CCB8-F711-4F61-9FAE-A9550AF59F45}"/>
    <cellStyle name="40% - Accent2 3 2 3 8" xfId="8639" xr:uid="{9B472391-DDF0-4CE5-8045-A14B7406F8DE}"/>
    <cellStyle name="40% - Accent2 3 2 4" xfId="540" xr:uid="{00000000-0005-0000-0000-0000D4010000}"/>
    <cellStyle name="40% - Accent2 3 2 4 2" xfId="1366" xr:uid="{3D58D3EB-45A8-48F3-BC5B-BBC83F9A9861}"/>
    <cellStyle name="40% - Accent2 3 2 4 2 2" xfId="5498" xr:uid="{1B2BFC35-E777-448F-B828-2E88AD27BD73}"/>
    <cellStyle name="40% - Accent2 3 2 4 3" xfId="2194" xr:uid="{718F5873-A00C-4C22-9B72-86639530895F}"/>
    <cellStyle name="40% - Accent2 3 2 4 3 2" xfId="6325" xr:uid="{7CBD9FB4-C604-4753-8DC3-FAC55D8D6CA9}"/>
    <cellStyle name="40% - Accent2 3 2 4 4" xfId="3018" xr:uid="{F8248732-B93E-4D8C-8059-0C46E4604071}"/>
    <cellStyle name="40% - Accent2 3 2 4 4 2" xfId="7149" xr:uid="{36EB6A0B-604F-4A6F-8EC6-953F534D3453}"/>
    <cellStyle name="40% - Accent2 3 2 4 5" xfId="3842" xr:uid="{1B0A62AC-11C9-4955-A255-B89D24409215}"/>
    <cellStyle name="40% - Accent2 3 2 4 5 2" xfId="8001" xr:uid="{3C9870C8-B6F9-432D-A5B7-53DBF5A19A00}"/>
    <cellStyle name="40% - Accent2 3 2 4 6" xfId="4672" xr:uid="{46624A87-7184-46F8-9D48-9FA522B0BE1D}"/>
    <cellStyle name="40% - Accent2 3 2 4 7" xfId="8848" xr:uid="{6C762B36-FDAA-44E5-8F83-05927D18A807}"/>
    <cellStyle name="40% - Accent2 3 2 5" xfId="947" xr:uid="{3B8C6260-982C-48B9-998B-3A1C4134CF63}"/>
    <cellStyle name="40% - Accent2 3 2 5 2" xfId="5079" xr:uid="{7F83C9DC-F30A-4015-BE9E-AE0A89CC42B0}"/>
    <cellStyle name="40% - Accent2 3 2 6" xfId="1775" xr:uid="{6DDAEA96-14CF-4514-AAC2-6BA95D261A14}"/>
    <cellStyle name="40% - Accent2 3 2 6 2" xfId="5906" xr:uid="{FD9A3D36-B427-4793-871E-B963159B0DEF}"/>
    <cellStyle name="40% - Accent2 3 2 7" xfId="2599" xr:uid="{71B56D8A-CE84-423B-A5A7-506C4FAF1956}"/>
    <cellStyle name="40% - Accent2 3 2 7 2" xfId="6730" xr:uid="{D7A1FFBC-DF52-4985-B5DA-D1456EBA5FE4}"/>
    <cellStyle name="40% - Accent2 3 2 8" xfId="3423" xr:uid="{8A08E4FC-3E9B-40F1-9E7D-6A2E9EE07833}"/>
    <cellStyle name="40% - Accent2 3 2 8 2" xfId="7582" xr:uid="{214CF052-8A8B-4472-83E5-11E7B9B919D6}"/>
    <cellStyle name="40% - Accent2 3 2 9" xfId="4253" xr:uid="{7EE19FF2-F1BE-472B-AAA2-EB8A64498427}"/>
    <cellStyle name="40% - Accent2 3 3" xfId="174" xr:uid="{00000000-0005-0000-0000-0000D5010000}"/>
    <cellStyle name="40% - Accent2 3 3 2" xfId="383" xr:uid="{00000000-0005-0000-0000-0000D6010000}"/>
    <cellStyle name="40% - Accent2 3 3 2 2" xfId="800" xr:uid="{00000000-0005-0000-0000-0000D7010000}"/>
    <cellStyle name="40% - Accent2 3 3 2 2 2" xfId="1626" xr:uid="{3C8D5295-A667-4B6B-A8DB-D0F6BC1C61E5}"/>
    <cellStyle name="40% - Accent2 3 3 2 2 2 2" xfId="5758" xr:uid="{D2E8DF36-003A-482D-A007-F0622B6830E9}"/>
    <cellStyle name="40% - Accent2 3 3 2 2 3" xfId="2454" xr:uid="{AFF7D2F5-E942-441F-99E5-599AC95FB117}"/>
    <cellStyle name="40% - Accent2 3 3 2 2 3 2" xfId="6585" xr:uid="{120EF280-F732-47D1-88A6-5B5D3629FA2E}"/>
    <cellStyle name="40% - Accent2 3 3 2 2 4" xfId="3278" xr:uid="{8DB295B5-3E1C-48D7-A36C-97E755FD10F8}"/>
    <cellStyle name="40% - Accent2 3 3 2 2 4 2" xfId="7409" xr:uid="{ECA1BB1B-38D7-4A2F-AC12-9F3FDCDF32B0}"/>
    <cellStyle name="40% - Accent2 3 3 2 2 5" xfId="4102" xr:uid="{2EF69B05-1B2A-47CC-A33E-43F7B6B4DF51}"/>
    <cellStyle name="40% - Accent2 3 3 2 2 5 2" xfId="8261" xr:uid="{CE4046A2-66BA-48C5-A7D7-209109397139}"/>
    <cellStyle name="40% - Accent2 3 3 2 2 6" xfId="4932" xr:uid="{AFF42BFD-51D7-489F-B5B5-ECACF602D876}"/>
    <cellStyle name="40% - Accent2 3 3 2 2 7" xfId="9108" xr:uid="{7904F101-03A1-4939-8D0A-6D78689DEAE2}"/>
    <cellStyle name="40% - Accent2 3 3 2 3" xfId="1209" xr:uid="{2E6FF006-8BF0-4FAB-85D2-0D650B255CC0}"/>
    <cellStyle name="40% - Accent2 3 3 2 3 2" xfId="5341" xr:uid="{BD4031A4-E0FB-4D8A-A92E-E97D93E78C1F}"/>
    <cellStyle name="40% - Accent2 3 3 2 4" xfId="2037" xr:uid="{68C03AAE-78BC-4F29-AF30-44FA9B5F1CEF}"/>
    <cellStyle name="40% - Accent2 3 3 2 4 2" xfId="6168" xr:uid="{D6846533-18E4-4423-B1BF-50CD53B3A3E5}"/>
    <cellStyle name="40% - Accent2 3 3 2 5" xfId="2861" xr:uid="{93C9EE83-874E-4149-B1C8-67DE30C03911}"/>
    <cellStyle name="40% - Accent2 3 3 2 5 2" xfId="6992" xr:uid="{03F3121D-2CAC-45E2-BB40-5D86F2D0CF96}"/>
    <cellStyle name="40% - Accent2 3 3 2 6" xfId="3685" xr:uid="{C5F2270F-F781-4B4B-A03F-841C064362D0}"/>
    <cellStyle name="40% - Accent2 3 3 2 6 2" xfId="7844" xr:uid="{B571281E-A507-4B99-8FB0-FE9AC1A3AD37}"/>
    <cellStyle name="40% - Accent2 3 3 2 7" xfId="4515" xr:uid="{F4696E27-9E4F-4025-B6C1-7FA3591164C9}"/>
    <cellStyle name="40% - Accent2 3 3 2 8" xfId="8691" xr:uid="{5E0D4EF5-B5CC-44EC-8A90-460D6B3019F5}"/>
    <cellStyle name="40% - Accent2 3 3 3" xfId="592" xr:uid="{00000000-0005-0000-0000-0000D8010000}"/>
    <cellStyle name="40% - Accent2 3 3 3 2" xfId="1418" xr:uid="{002113C0-5936-402C-AACE-489D4FA7FF30}"/>
    <cellStyle name="40% - Accent2 3 3 3 2 2" xfId="5550" xr:uid="{3BB916A6-B4BB-4494-8B9F-C33EA1821D54}"/>
    <cellStyle name="40% - Accent2 3 3 3 3" xfId="2246" xr:uid="{38F14BCE-9D91-4776-9497-83FCB2F2F5EC}"/>
    <cellStyle name="40% - Accent2 3 3 3 3 2" xfId="6377" xr:uid="{26E1B958-F2FD-4824-AE99-5E423EF741BF}"/>
    <cellStyle name="40% - Accent2 3 3 3 4" xfId="3070" xr:uid="{293FBF24-4040-4ADB-96D4-72225BE400A3}"/>
    <cellStyle name="40% - Accent2 3 3 3 4 2" xfId="7201" xr:uid="{0A5EE209-36C3-4E40-BC33-AC628F28EBB5}"/>
    <cellStyle name="40% - Accent2 3 3 3 5" xfId="3894" xr:uid="{9D242F44-13E4-49E2-99C3-450B934B4625}"/>
    <cellStyle name="40% - Accent2 3 3 3 5 2" xfId="8053" xr:uid="{493674B7-8596-4AA6-8D17-4D0CAB7A8683}"/>
    <cellStyle name="40% - Accent2 3 3 3 6" xfId="4724" xr:uid="{05195248-CF9C-4770-B99C-FB15D4D15D2F}"/>
    <cellStyle name="40% - Accent2 3 3 3 7" xfId="8900" xr:uid="{DF1228C4-4F14-46FD-A9FA-6239753314EC}"/>
    <cellStyle name="40% - Accent2 3 3 4" xfId="1000" xr:uid="{110B7441-85AB-440F-8223-BFA6FC48BBF5}"/>
    <cellStyle name="40% - Accent2 3 3 4 2" xfId="5132" xr:uid="{134CE3BB-C828-4FD0-A76A-C5A058C76B1B}"/>
    <cellStyle name="40% - Accent2 3 3 5" xfId="1828" xr:uid="{02C2AB08-366E-48D9-8FB4-2D00968FFB86}"/>
    <cellStyle name="40% - Accent2 3 3 5 2" xfId="5959" xr:uid="{46F76BDC-8ACD-49ED-B646-9B9C9F43B3D6}"/>
    <cellStyle name="40% - Accent2 3 3 6" xfId="2652" xr:uid="{FA1A4E20-667D-41DE-BF79-C1F9E7F24290}"/>
    <cellStyle name="40% - Accent2 3 3 6 2" xfId="6783" xr:uid="{2E04E068-6EFF-4C00-81B0-01BC95B70A36}"/>
    <cellStyle name="40% - Accent2 3 3 7" xfId="3476" xr:uid="{0F0B8513-A511-4931-9265-85CD3022AF3F}"/>
    <cellStyle name="40% - Accent2 3 3 7 2" xfId="7635" xr:uid="{59BF4524-F859-422F-9A48-A9C0564E3345}"/>
    <cellStyle name="40% - Accent2 3 3 8" xfId="4306" xr:uid="{F95A53F8-FC30-4109-8C1C-68C06C6B8E0B}"/>
    <cellStyle name="40% - Accent2 3 3 9" xfId="8482" xr:uid="{5EB4CE2B-4826-4270-988F-FC5C1EABC04E}"/>
    <cellStyle name="40% - Accent2 3 4" xfId="279" xr:uid="{00000000-0005-0000-0000-0000D9010000}"/>
    <cellStyle name="40% - Accent2 3 4 2" xfId="696" xr:uid="{00000000-0005-0000-0000-0000DA010000}"/>
    <cellStyle name="40% - Accent2 3 4 2 2" xfId="1522" xr:uid="{FEE4DBCF-4816-4B7A-B787-F8C433B32585}"/>
    <cellStyle name="40% - Accent2 3 4 2 2 2" xfId="5654" xr:uid="{AFEABA02-22DC-4B19-B92D-EB515D525326}"/>
    <cellStyle name="40% - Accent2 3 4 2 3" xfId="2350" xr:uid="{445D0029-03DF-4716-A7C4-C20522D01738}"/>
    <cellStyle name="40% - Accent2 3 4 2 3 2" xfId="6481" xr:uid="{47C7E960-667E-41AD-8926-8D3D5CDC3443}"/>
    <cellStyle name="40% - Accent2 3 4 2 4" xfId="3174" xr:uid="{BB70F2E2-C44A-44D4-AE50-A741DE734EC7}"/>
    <cellStyle name="40% - Accent2 3 4 2 4 2" xfId="7305" xr:uid="{11D53C3D-374C-41B4-912A-BCF7EB3415CB}"/>
    <cellStyle name="40% - Accent2 3 4 2 5" xfId="3998" xr:uid="{B061DCE3-A18B-4481-A5C4-C8FF3B8D3BFF}"/>
    <cellStyle name="40% - Accent2 3 4 2 5 2" xfId="8157" xr:uid="{C1BE4852-3E09-42A1-9C77-05582BC6830A}"/>
    <cellStyle name="40% - Accent2 3 4 2 6" xfId="4828" xr:uid="{4F9B3856-B4CE-4027-898D-DCD51DFF3128}"/>
    <cellStyle name="40% - Accent2 3 4 2 7" xfId="9004" xr:uid="{E360C33A-66BC-4D90-8960-67A376840C45}"/>
    <cellStyle name="40% - Accent2 3 4 3" xfId="1105" xr:uid="{7916B8F1-EB7D-4063-B526-521FCDE85BCD}"/>
    <cellStyle name="40% - Accent2 3 4 3 2" xfId="5237" xr:uid="{8649EB49-CC5C-4229-90AD-C4A482357AD4}"/>
    <cellStyle name="40% - Accent2 3 4 4" xfId="1933" xr:uid="{39D28D05-36AA-43EA-9ED0-34E1FBB3A517}"/>
    <cellStyle name="40% - Accent2 3 4 4 2" xfId="6064" xr:uid="{49F9B191-8905-4E90-95A0-10B28A331305}"/>
    <cellStyle name="40% - Accent2 3 4 5" xfId="2757" xr:uid="{94998D9D-8609-4DFC-9562-D811F3ABA27E}"/>
    <cellStyle name="40% - Accent2 3 4 5 2" xfId="6888" xr:uid="{82951CD5-ECAF-47BD-852D-36B28D69BE95}"/>
    <cellStyle name="40% - Accent2 3 4 6" xfId="3581" xr:uid="{39858A3E-08AC-417F-B009-B8165B5AC047}"/>
    <cellStyle name="40% - Accent2 3 4 6 2" xfId="7740" xr:uid="{859B3ED2-882C-48BD-969C-05CFA0A7F211}"/>
    <cellStyle name="40% - Accent2 3 4 7" xfId="4411" xr:uid="{604C166D-EE34-40A0-88E5-FB684621617E}"/>
    <cellStyle name="40% - Accent2 3 4 8" xfId="8587" xr:uid="{1292C5B9-73A8-4683-A8ED-53CBC8462C76}"/>
    <cellStyle name="40% - Accent2 3 5" xfId="488" xr:uid="{00000000-0005-0000-0000-0000DB010000}"/>
    <cellStyle name="40% - Accent2 3 5 2" xfId="1314" xr:uid="{8E9F6DFD-E2A9-4D9B-8342-BE8C390DF409}"/>
    <cellStyle name="40% - Accent2 3 5 2 2" xfId="5446" xr:uid="{644CFDE7-50AD-44AC-9BE1-3C05A547DF6C}"/>
    <cellStyle name="40% - Accent2 3 5 3" xfId="2142" xr:uid="{5834621C-F0B6-4FE6-8B35-F8AD0C356477}"/>
    <cellStyle name="40% - Accent2 3 5 3 2" xfId="6273" xr:uid="{F264626B-405D-4889-A8C6-B782CD81F863}"/>
    <cellStyle name="40% - Accent2 3 5 4" xfId="2966" xr:uid="{9755F7ED-B8AF-44D0-9C06-23F461307A50}"/>
    <cellStyle name="40% - Accent2 3 5 4 2" xfId="7097" xr:uid="{16602629-3947-4B49-A684-0819E75532A7}"/>
    <cellStyle name="40% - Accent2 3 5 5" xfId="3790" xr:uid="{30C0AD6E-7A74-47AD-AB19-3013CE10C137}"/>
    <cellStyle name="40% - Accent2 3 5 5 2" xfId="7949" xr:uid="{AAFB504F-43B2-4AAD-AA72-9D1A97532611}"/>
    <cellStyle name="40% - Accent2 3 5 6" xfId="4620" xr:uid="{3F8841D0-2B98-4163-A199-37882D80AB80}"/>
    <cellStyle name="40% - Accent2 3 5 7" xfId="8796" xr:uid="{3EA4517F-8B62-4E66-8641-96DCCA95B81C}"/>
    <cellStyle name="40% - Accent2 3 6" xfId="894" xr:uid="{F4163F12-8632-4174-A171-9ACBA05C7988}"/>
    <cellStyle name="40% - Accent2 3 6 2" xfId="5026" xr:uid="{23D162EA-7A77-4939-AFAB-61A0F3B1CD66}"/>
    <cellStyle name="40% - Accent2 3 7" xfId="1722" xr:uid="{1DFF378E-51B0-46AD-B07F-9D7A01D6149E}"/>
    <cellStyle name="40% - Accent2 3 7 2" xfId="5853" xr:uid="{36F81C9E-63AC-4DEE-AE7B-73E660476B81}"/>
    <cellStyle name="40% - Accent2 3 8" xfId="2546" xr:uid="{E4779E47-F4B2-4E90-A25F-CA6EA0FB015B}"/>
    <cellStyle name="40% - Accent2 3 8 2" xfId="6677" xr:uid="{DD7261D0-1365-46E2-BC52-6043E63EEF25}"/>
    <cellStyle name="40% - Accent2 3 9" xfId="3370" xr:uid="{9838C4A5-D5F5-42A6-A67E-E672C19D5BAE}"/>
    <cellStyle name="40% - Accent2 3 9 2" xfId="7529" xr:uid="{9DD8978A-E398-433C-BF73-A1463F241B15}"/>
    <cellStyle name="40% - Accent2 4" xfId="81" xr:uid="{00000000-0005-0000-0000-0000DC010000}"/>
    <cellStyle name="40% - Accent2 4 10" xfId="8389" xr:uid="{08D7AF60-46CD-4168-AACE-4728AFC4F655}"/>
    <cellStyle name="40% - Accent2 4 2" xfId="187" xr:uid="{00000000-0005-0000-0000-0000DD010000}"/>
    <cellStyle name="40% - Accent2 4 2 2" xfId="396" xr:uid="{00000000-0005-0000-0000-0000DE010000}"/>
    <cellStyle name="40% - Accent2 4 2 2 2" xfId="813" xr:uid="{00000000-0005-0000-0000-0000DF010000}"/>
    <cellStyle name="40% - Accent2 4 2 2 2 2" xfId="1639" xr:uid="{2989CD11-38A3-4FC4-8CCA-269669E146D2}"/>
    <cellStyle name="40% - Accent2 4 2 2 2 2 2" xfId="5771" xr:uid="{F6CFE834-911E-4904-A833-AC972FD9C784}"/>
    <cellStyle name="40% - Accent2 4 2 2 2 3" xfId="2467" xr:uid="{D2A157F5-FF69-412A-84D5-A9B6464D48BF}"/>
    <cellStyle name="40% - Accent2 4 2 2 2 3 2" xfId="6598" xr:uid="{8250E26E-D4F0-4972-B752-49140349776D}"/>
    <cellStyle name="40% - Accent2 4 2 2 2 4" xfId="3291" xr:uid="{94C36295-8FDF-4BAF-8241-67CB68DF21E0}"/>
    <cellStyle name="40% - Accent2 4 2 2 2 4 2" xfId="7422" xr:uid="{C95A6F8E-1FF6-4697-AE01-CA22CD69586D}"/>
    <cellStyle name="40% - Accent2 4 2 2 2 5" xfId="4115" xr:uid="{00D50197-C74E-4328-B272-FB221A2EB004}"/>
    <cellStyle name="40% - Accent2 4 2 2 2 5 2" xfId="8274" xr:uid="{EB09EF4C-FAA8-4199-B097-6E801CB22768}"/>
    <cellStyle name="40% - Accent2 4 2 2 2 6" xfId="4945" xr:uid="{E15C9BD0-F230-46A3-B75F-8475E87AC9B7}"/>
    <cellStyle name="40% - Accent2 4 2 2 2 7" xfId="9121" xr:uid="{A73009F4-87D7-4219-8E15-085143550D38}"/>
    <cellStyle name="40% - Accent2 4 2 2 3" xfId="1222" xr:uid="{F24BB91A-7AD6-46F1-81BD-9F57F1924873}"/>
    <cellStyle name="40% - Accent2 4 2 2 3 2" xfId="5354" xr:uid="{EED2DA47-6B3B-4EDB-8F9E-24F1D37E4CC7}"/>
    <cellStyle name="40% - Accent2 4 2 2 4" xfId="2050" xr:uid="{35D7EBF9-9764-46B2-8DFB-8AC30CF2BDD4}"/>
    <cellStyle name="40% - Accent2 4 2 2 4 2" xfId="6181" xr:uid="{4D162289-91BB-443B-9B02-0C3863B3FE4E}"/>
    <cellStyle name="40% - Accent2 4 2 2 5" xfId="2874" xr:uid="{A4AA4849-F7A2-4C69-AEA9-7E649F1C4803}"/>
    <cellStyle name="40% - Accent2 4 2 2 5 2" xfId="7005" xr:uid="{1C2080BF-A694-46DE-AD3F-E2D1329D3D1A}"/>
    <cellStyle name="40% - Accent2 4 2 2 6" xfId="3698" xr:uid="{B5F7839F-2E1D-48C3-87B7-4A272ED6B0E6}"/>
    <cellStyle name="40% - Accent2 4 2 2 6 2" xfId="7857" xr:uid="{9EC65F59-398C-467B-B55E-96CC45F27DFF}"/>
    <cellStyle name="40% - Accent2 4 2 2 7" xfId="4528" xr:uid="{61E1B62C-E840-4832-BA75-017582049944}"/>
    <cellStyle name="40% - Accent2 4 2 2 8" xfId="8704" xr:uid="{98D30399-B565-429B-B35C-4676A48A890C}"/>
    <cellStyle name="40% - Accent2 4 2 3" xfId="605" xr:uid="{00000000-0005-0000-0000-0000E0010000}"/>
    <cellStyle name="40% - Accent2 4 2 3 2" xfId="1431" xr:uid="{60DBA274-CCC1-4CD4-99BB-017C627BE8C8}"/>
    <cellStyle name="40% - Accent2 4 2 3 2 2" xfId="5563" xr:uid="{6A904209-2DAD-44D8-8618-963982AED271}"/>
    <cellStyle name="40% - Accent2 4 2 3 3" xfId="2259" xr:uid="{61CDD337-2523-4BA2-A744-0CEF982B3FE2}"/>
    <cellStyle name="40% - Accent2 4 2 3 3 2" xfId="6390" xr:uid="{5080C55B-5A13-4B0F-9B90-288AE6228A95}"/>
    <cellStyle name="40% - Accent2 4 2 3 4" xfId="3083" xr:uid="{BE054EB8-4F28-421F-A008-09EE760EE6A4}"/>
    <cellStyle name="40% - Accent2 4 2 3 4 2" xfId="7214" xr:uid="{5029A187-B0E4-413F-B057-EF7E4020E00C}"/>
    <cellStyle name="40% - Accent2 4 2 3 5" xfId="3907" xr:uid="{F8A57C00-AF2E-4147-BC25-64BC976045AF}"/>
    <cellStyle name="40% - Accent2 4 2 3 5 2" xfId="8066" xr:uid="{06F28B4D-8FCC-4988-A029-63DABB0AC036}"/>
    <cellStyle name="40% - Accent2 4 2 3 6" xfId="4737" xr:uid="{955831F1-8B76-4A0A-A227-8CB7E0B47D01}"/>
    <cellStyle name="40% - Accent2 4 2 3 7" xfId="8913" xr:uid="{B25439A4-460C-47B6-BD4A-C6EC9F857ADD}"/>
    <cellStyle name="40% - Accent2 4 2 4" xfId="1013" xr:uid="{F1291CCC-3EF1-44A4-A712-1EFD353389D5}"/>
    <cellStyle name="40% - Accent2 4 2 4 2" xfId="5145" xr:uid="{D46E5E88-6407-4C84-AB91-DA5C7886F1D3}"/>
    <cellStyle name="40% - Accent2 4 2 5" xfId="1841" xr:uid="{6E602DDD-1D9A-431B-BED0-5D805758D3A0}"/>
    <cellStyle name="40% - Accent2 4 2 5 2" xfId="5972" xr:uid="{01305740-812C-46DB-8476-2484744AF9D3}"/>
    <cellStyle name="40% - Accent2 4 2 6" xfId="2665" xr:uid="{FC2C1B5A-C7DF-493B-976D-167141D3A6D2}"/>
    <cellStyle name="40% - Accent2 4 2 6 2" xfId="6796" xr:uid="{41BF7015-E048-460F-AA52-6AA4A704BDD9}"/>
    <cellStyle name="40% - Accent2 4 2 7" xfId="3489" xr:uid="{AF841BDD-8CB6-466F-9F54-D946488F0A9B}"/>
    <cellStyle name="40% - Accent2 4 2 7 2" xfId="7648" xr:uid="{D16803FF-65F4-44F5-858E-B9D6B13846F4}"/>
    <cellStyle name="40% - Accent2 4 2 8" xfId="4319" xr:uid="{34CCC956-BC87-4052-ACEC-2844E2042144}"/>
    <cellStyle name="40% - Accent2 4 2 9" xfId="8495" xr:uid="{6A546377-BFB8-433E-94C9-D1F5F70715E9}"/>
    <cellStyle name="40% - Accent2 4 3" xfId="292" xr:uid="{00000000-0005-0000-0000-0000E1010000}"/>
    <cellStyle name="40% - Accent2 4 3 2" xfId="709" xr:uid="{00000000-0005-0000-0000-0000E2010000}"/>
    <cellStyle name="40% - Accent2 4 3 2 2" xfId="1535" xr:uid="{B0834540-D9CD-4D41-95E5-B1655D20D3F4}"/>
    <cellStyle name="40% - Accent2 4 3 2 2 2" xfId="5667" xr:uid="{E70ED0B4-8C4B-46AD-8A9D-46DEA65437D2}"/>
    <cellStyle name="40% - Accent2 4 3 2 3" xfId="2363" xr:uid="{72976758-E6F3-4455-A7FF-769564BA765E}"/>
    <cellStyle name="40% - Accent2 4 3 2 3 2" xfId="6494" xr:uid="{F571A5F6-7959-4EC8-BED3-A91C2563126F}"/>
    <cellStyle name="40% - Accent2 4 3 2 4" xfId="3187" xr:uid="{8E2D19B7-2940-49F1-B9E5-B95F855B310D}"/>
    <cellStyle name="40% - Accent2 4 3 2 4 2" xfId="7318" xr:uid="{CD426AD6-4D79-487B-A5F7-EBFA28315159}"/>
    <cellStyle name="40% - Accent2 4 3 2 5" xfId="4011" xr:uid="{48C29E76-EDA8-45D3-8EE8-2C3E0B7B30F3}"/>
    <cellStyle name="40% - Accent2 4 3 2 5 2" xfId="8170" xr:uid="{BC6A5026-593B-4484-ABB1-8158E458EE44}"/>
    <cellStyle name="40% - Accent2 4 3 2 6" xfId="4841" xr:uid="{74BD0B08-4068-4ED0-8B6A-1AC29D04189C}"/>
    <cellStyle name="40% - Accent2 4 3 2 7" xfId="9017" xr:uid="{40C3457D-ECB5-440D-895B-6214D0A7FFAA}"/>
    <cellStyle name="40% - Accent2 4 3 3" xfId="1118" xr:uid="{0254A6B9-84EF-4453-8269-1339CA8BCF10}"/>
    <cellStyle name="40% - Accent2 4 3 3 2" xfId="5250" xr:uid="{C4D4E370-3D36-4775-9773-F24FA1BEF86D}"/>
    <cellStyle name="40% - Accent2 4 3 4" xfId="1946" xr:uid="{DE264F71-C4BA-4713-A079-A5233E55E0ED}"/>
    <cellStyle name="40% - Accent2 4 3 4 2" xfId="6077" xr:uid="{81AB7D46-DDC5-45D9-A007-279224F83D6D}"/>
    <cellStyle name="40% - Accent2 4 3 5" xfId="2770" xr:uid="{D2A9B97A-E2F9-4E69-B541-FFBD8EF8D430}"/>
    <cellStyle name="40% - Accent2 4 3 5 2" xfId="6901" xr:uid="{6DD0AFED-BF2D-4F64-8790-23B8D41A8C92}"/>
    <cellStyle name="40% - Accent2 4 3 6" xfId="3594" xr:uid="{9710F206-1CD0-4B8E-89AE-C3793A72C86C}"/>
    <cellStyle name="40% - Accent2 4 3 6 2" xfId="7753" xr:uid="{73B68D12-D974-43A8-B9C2-7BCA042087AC}"/>
    <cellStyle name="40% - Accent2 4 3 7" xfId="4424" xr:uid="{BA76CCF9-A879-41F1-95BA-D3ABF45165AA}"/>
    <cellStyle name="40% - Accent2 4 3 8" xfId="8600" xr:uid="{00209F6F-F134-48FD-BDF7-FC83B2628725}"/>
    <cellStyle name="40% - Accent2 4 4" xfId="501" xr:uid="{00000000-0005-0000-0000-0000E3010000}"/>
    <cellStyle name="40% - Accent2 4 4 2" xfId="1327" xr:uid="{6CEDAC7F-1262-4B06-9FEF-DF52380CF9AE}"/>
    <cellStyle name="40% - Accent2 4 4 2 2" xfId="5459" xr:uid="{C08CD74F-347E-44DD-BA07-DBF50A834AE5}"/>
    <cellStyle name="40% - Accent2 4 4 3" xfId="2155" xr:uid="{7BB4BC2B-56FB-41F6-9BB5-2ECE35DA1853}"/>
    <cellStyle name="40% - Accent2 4 4 3 2" xfId="6286" xr:uid="{B2842776-0AFC-4800-9D9A-BFFB7BDDE3B9}"/>
    <cellStyle name="40% - Accent2 4 4 4" xfId="2979" xr:uid="{F066D5F1-9D9B-4129-AE7B-C261DA2CBF05}"/>
    <cellStyle name="40% - Accent2 4 4 4 2" xfId="7110" xr:uid="{3248E5A2-EBDB-4818-934F-5559D3A7F288}"/>
    <cellStyle name="40% - Accent2 4 4 5" xfId="3803" xr:uid="{FB78E09F-857B-4A2E-851D-C5D5E66774A9}"/>
    <cellStyle name="40% - Accent2 4 4 5 2" xfId="7962" xr:uid="{0CB2B03B-8140-4A0E-AB15-59017EE76E53}"/>
    <cellStyle name="40% - Accent2 4 4 6" xfId="4633" xr:uid="{F2862CE9-D17D-49D7-B2CD-510FD5E78B91}"/>
    <cellStyle name="40% - Accent2 4 4 7" xfId="8809" xr:uid="{5798F5B2-F58D-45AD-A011-7140CFB355CD}"/>
    <cellStyle name="40% - Accent2 4 5" xfId="907" xr:uid="{2CD2E38A-66A0-45E2-B659-BB4FF22055BC}"/>
    <cellStyle name="40% - Accent2 4 5 2" xfId="5039" xr:uid="{45FB03F4-70CB-4818-99C8-0DCD1B7A8F1D}"/>
    <cellStyle name="40% - Accent2 4 6" xfId="1735" xr:uid="{441AAF42-C780-4ED0-B7B6-A9A39BCEDED2}"/>
    <cellStyle name="40% - Accent2 4 6 2" xfId="5866" xr:uid="{19CF3BEA-A149-4385-B82C-32C2DAC90FB4}"/>
    <cellStyle name="40% - Accent2 4 7" xfId="2559" xr:uid="{6BA1B65F-B68A-472C-82F4-5BF4227B78F4}"/>
    <cellStyle name="40% - Accent2 4 7 2" xfId="6690" xr:uid="{4A3CA595-F889-4984-8C4C-A4A2CED3460A}"/>
    <cellStyle name="40% - Accent2 4 8" xfId="3383" xr:uid="{BB8E5D73-D485-425C-8520-D1C5F1A828E1}"/>
    <cellStyle name="40% - Accent2 4 8 2" xfId="7542" xr:uid="{E51C0BFF-91DC-46F8-8A98-0B5E1BDB425C}"/>
    <cellStyle name="40% - Accent2 4 9" xfId="4213" xr:uid="{D1F33637-2703-4F1D-945C-EBAF9124177D}"/>
    <cellStyle name="40% - Accent2 5" xfId="94" xr:uid="{00000000-0005-0000-0000-0000E4010000}"/>
    <cellStyle name="40% - Accent2 5 10" xfId="8402" xr:uid="{3E296A8D-FD0C-4283-BB97-CDD95820E956}"/>
    <cellStyle name="40% - Accent2 5 2" xfId="199" xr:uid="{00000000-0005-0000-0000-0000E5010000}"/>
    <cellStyle name="40% - Accent2 5 2 2" xfId="408" xr:uid="{00000000-0005-0000-0000-0000E6010000}"/>
    <cellStyle name="40% - Accent2 5 2 2 2" xfId="825" xr:uid="{00000000-0005-0000-0000-0000E7010000}"/>
    <cellStyle name="40% - Accent2 5 2 2 2 2" xfId="1651" xr:uid="{36C5AC10-100B-478F-BFE6-E11688B0DBB0}"/>
    <cellStyle name="40% - Accent2 5 2 2 2 2 2" xfId="5783" xr:uid="{6F6B163B-BA36-454A-8DE2-EDA7FC91A6D7}"/>
    <cellStyle name="40% - Accent2 5 2 2 2 3" xfId="2479" xr:uid="{34E50911-72AC-46A0-9419-2353EEBD6E76}"/>
    <cellStyle name="40% - Accent2 5 2 2 2 3 2" xfId="6610" xr:uid="{0ECBE598-653B-4109-B8E4-785B01BB22EA}"/>
    <cellStyle name="40% - Accent2 5 2 2 2 4" xfId="3303" xr:uid="{1B703CEF-A5FD-4CE3-831D-D3618639595D}"/>
    <cellStyle name="40% - Accent2 5 2 2 2 4 2" xfId="7434" xr:uid="{3E58AD3D-57EE-4DF0-9892-F4A8F6665848}"/>
    <cellStyle name="40% - Accent2 5 2 2 2 5" xfId="4127" xr:uid="{C93DFDC2-66A3-436E-8724-28A347215958}"/>
    <cellStyle name="40% - Accent2 5 2 2 2 5 2" xfId="8286" xr:uid="{D54F3745-2E49-498A-BF01-D9F4F3812266}"/>
    <cellStyle name="40% - Accent2 5 2 2 2 6" xfId="4957" xr:uid="{370DCF08-D7B8-4127-AF70-68C96B06986E}"/>
    <cellStyle name="40% - Accent2 5 2 2 2 7" xfId="9133" xr:uid="{7F80E09A-9D1F-4643-A8E5-703F30B807F7}"/>
    <cellStyle name="40% - Accent2 5 2 2 3" xfId="1234" xr:uid="{EFD02573-B6CE-4D4E-95D7-B855EB870325}"/>
    <cellStyle name="40% - Accent2 5 2 2 3 2" xfId="5366" xr:uid="{B7E35BE1-5732-4205-BC27-CE84C6C52F95}"/>
    <cellStyle name="40% - Accent2 5 2 2 4" xfId="2062" xr:uid="{D8B395B9-7FC8-49D7-9DF4-76A69E005A19}"/>
    <cellStyle name="40% - Accent2 5 2 2 4 2" xfId="6193" xr:uid="{48647B12-ED26-4C8B-A66A-A6231DEB9A27}"/>
    <cellStyle name="40% - Accent2 5 2 2 5" xfId="2886" xr:uid="{FA03DDFA-6027-4287-8E75-D51B05FAA2D7}"/>
    <cellStyle name="40% - Accent2 5 2 2 5 2" xfId="7017" xr:uid="{F85762B3-C571-4541-A83B-2F154FF51EB1}"/>
    <cellStyle name="40% - Accent2 5 2 2 6" xfId="3710" xr:uid="{50CFA0CD-0BBE-4F0D-8933-07AE95099FAA}"/>
    <cellStyle name="40% - Accent2 5 2 2 6 2" xfId="7869" xr:uid="{059A9F80-C700-4BB7-ACE9-3941644D24E7}"/>
    <cellStyle name="40% - Accent2 5 2 2 7" xfId="4540" xr:uid="{B0A703E9-15F9-4825-B08E-7BE62D93C9D6}"/>
    <cellStyle name="40% - Accent2 5 2 2 8" xfId="8716" xr:uid="{C70C2D47-E4B8-4E47-8BB2-CB3A990E30A4}"/>
    <cellStyle name="40% - Accent2 5 2 3" xfId="617" xr:uid="{00000000-0005-0000-0000-0000E8010000}"/>
    <cellStyle name="40% - Accent2 5 2 3 2" xfId="1443" xr:uid="{72F892E8-53F9-438A-9ECF-2E986EB13022}"/>
    <cellStyle name="40% - Accent2 5 2 3 2 2" xfId="5575" xr:uid="{70CFA92E-6A4C-4A13-A02B-27A1E5A78C98}"/>
    <cellStyle name="40% - Accent2 5 2 3 3" xfId="2271" xr:uid="{EEE4F649-6429-400A-9C45-611C0B03BEF8}"/>
    <cellStyle name="40% - Accent2 5 2 3 3 2" xfId="6402" xr:uid="{3E589AC1-0161-4E49-BC24-96E845E83B2C}"/>
    <cellStyle name="40% - Accent2 5 2 3 4" xfId="3095" xr:uid="{17227C95-3DA8-4A5C-B3C6-96FC12DA407F}"/>
    <cellStyle name="40% - Accent2 5 2 3 4 2" xfId="7226" xr:uid="{1BBE934E-BBD0-4326-B963-AA419DFD1E85}"/>
    <cellStyle name="40% - Accent2 5 2 3 5" xfId="3919" xr:uid="{7D2D655F-F76A-481B-8A5E-9A327DBB6A67}"/>
    <cellStyle name="40% - Accent2 5 2 3 5 2" xfId="8078" xr:uid="{9831C8FA-8BE6-4606-91E5-4583E1CC94D8}"/>
    <cellStyle name="40% - Accent2 5 2 3 6" xfId="4749" xr:uid="{4463A59A-3890-4562-9894-8FE5B71A0D38}"/>
    <cellStyle name="40% - Accent2 5 2 3 7" xfId="8925" xr:uid="{A7F96DB7-53AB-4C36-860A-4C640651696F}"/>
    <cellStyle name="40% - Accent2 5 2 4" xfId="1025" xr:uid="{CE1C6081-09E3-4844-B39A-EA81E2AF24BB}"/>
    <cellStyle name="40% - Accent2 5 2 4 2" xfId="5157" xr:uid="{893A65B9-B546-46E2-B3D4-260952A4A336}"/>
    <cellStyle name="40% - Accent2 5 2 5" xfId="1853" xr:uid="{33521CE6-ED32-47F8-B0A6-52FC57D038C3}"/>
    <cellStyle name="40% - Accent2 5 2 5 2" xfId="5984" xr:uid="{359907C7-6206-433E-900C-44477D9B7A86}"/>
    <cellStyle name="40% - Accent2 5 2 6" xfId="2677" xr:uid="{0215D264-F1FE-4F38-861C-2074827B185D}"/>
    <cellStyle name="40% - Accent2 5 2 6 2" xfId="6808" xr:uid="{2521E81D-77E6-4FD0-8048-0B9C100B05E9}"/>
    <cellStyle name="40% - Accent2 5 2 7" xfId="3501" xr:uid="{F9E3B79E-69B2-4137-A67B-EEDFF90B06E8}"/>
    <cellStyle name="40% - Accent2 5 2 7 2" xfId="7660" xr:uid="{82E96B86-EB78-400B-9BAE-96CA24EAC96B}"/>
    <cellStyle name="40% - Accent2 5 2 8" xfId="4331" xr:uid="{E8B513C3-79FA-4EC7-9E8A-856E64A450EC}"/>
    <cellStyle name="40% - Accent2 5 2 9" xfId="8507" xr:uid="{808502ED-C678-450E-986D-508E3F0300AA}"/>
    <cellStyle name="40% - Accent2 5 3" xfId="304" xr:uid="{00000000-0005-0000-0000-0000E9010000}"/>
    <cellStyle name="40% - Accent2 5 3 2" xfId="721" xr:uid="{00000000-0005-0000-0000-0000EA010000}"/>
    <cellStyle name="40% - Accent2 5 3 2 2" xfId="1547" xr:uid="{8E78C5B5-8387-4E4A-8C55-41A4CD599CBE}"/>
    <cellStyle name="40% - Accent2 5 3 2 2 2" xfId="5679" xr:uid="{B0DED9BA-04B6-46B8-866C-CDD1B0C72B64}"/>
    <cellStyle name="40% - Accent2 5 3 2 3" xfId="2375" xr:uid="{085765D3-3CBE-469E-9F37-8DDF9498E765}"/>
    <cellStyle name="40% - Accent2 5 3 2 3 2" xfId="6506" xr:uid="{BE61A5A1-3BCB-40DE-8847-5C585D229056}"/>
    <cellStyle name="40% - Accent2 5 3 2 4" xfId="3199" xr:uid="{E10FCDC4-8823-476C-99A9-FFA84A152451}"/>
    <cellStyle name="40% - Accent2 5 3 2 4 2" xfId="7330" xr:uid="{29F27FF1-42A2-48F4-91D0-B11875050E59}"/>
    <cellStyle name="40% - Accent2 5 3 2 5" xfId="4023" xr:uid="{48593549-3ED9-45B0-BE03-F0A0C4972CBB}"/>
    <cellStyle name="40% - Accent2 5 3 2 5 2" xfId="8182" xr:uid="{51C09802-A777-4EBB-A0DD-DFFC92F5EB8C}"/>
    <cellStyle name="40% - Accent2 5 3 2 6" xfId="4853" xr:uid="{D6266A86-2F5B-4420-9487-DD6D967F8BD9}"/>
    <cellStyle name="40% - Accent2 5 3 2 7" xfId="9029" xr:uid="{4E8D4159-E564-488A-8773-42E7DAF1DD2D}"/>
    <cellStyle name="40% - Accent2 5 3 3" xfId="1130" xr:uid="{292A817B-E2C5-49A9-AAB2-EC3C79455CBC}"/>
    <cellStyle name="40% - Accent2 5 3 3 2" xfId="5262" xr:uid="{3E130696-F408-462D-9E1B-C9D5F74033AD}"/>
    <cellStyle name="40% - Accent2 5 3 4" xfId="1958" xr:uid="{29064B87-A2C7-4422-9D3E-DB6883C2675F}"/>
    <cellStyle name="40% - Accent2 5 3 4 2" xfId="6089" xr:uid="{A64F49F3-8B38-4CB5-BD5F-FDC8830F5402}"/>
    <cellStyle name="40% - Accent2 5 3 5" xfId="2782" xr:uid="{490BFF27-A78A-430A-97D4-3E0D61E5CCB0}"/>
    <cellStyle name="40% - Accent2 5 3 5 2" xfId="6913" xr:uid="{74A93FB3-6F50-4782-AEFA-B50CCD0F257A}"/>
    <cellStyle name="40% - Accent2 5 3 6" xfId="3606" xr:uid="{25113B2A-2436-4E2B-A15C-C78792ED1FA9}"/>
    <cellStyle name="40% - Accent2 5 3 6 2" xfId="7765" xr:uid="{AA96C4FC-CE79-4A87-A0F4-51EFD34A6F29}"/>
    <cellStyle name="40% - Accent2 5 3 7" xfId="4436" xr:uid="{F09C4905-3045-49F5-B91E-62FDC7783D2B}"/>
    <cellStyle name="40% - Accent2 5 3 8" xfId="8612" xr:uid="{2C65F588-3394-4D86-A730-CC064A0BEE9F}"/>
    <cellStyle name="40% - Accent2 5 4" xfId="513" xr:uid="{00000000-0005-0000-0000-0000EB010000}"/>
    <cellStyle name="40% - Accent2 5 4 2" xfId="1339" xr:uid="{A923C0CF-D1B1-47B2-8894-3A714413D161}"/>
    <cellStyle name="40% - Accent2 5 4 2 2" xfId="5471" xr:uid="{3E99725E-C3B0-4BF3-B5F8-D0CDD29AABFA}"/>
    <cellStyle name="40% - Accent2 5 4 3" xfId="2167" xr:uid="{887B99D9-14A8-48C4-BAB6-40B7BF143ED2}"/>
    <cellStyle name="40% - Accent2 5 4 3 2" xfId="6298" xr:uid="{3C404801-DC22-485C-A905-C4070FED8589}"/>
    <cellStyle name="40% - Accent2 5 4 4" xfId="2991" xr:uid="{7B93502C-D3FF-457F-85C5-5EB4CCB8908A}"/>
    <cellStyle name="40% - Accent2 5 4 4 2" xfId="7122" xr:uid="{59403458-12EE-4817-93AE-0D163D84380D}"/>
    <cellStyle name="40% - Accent2 5 4 5" xfId="3815" xr:uid="{E5F1238D-9A8E-4F27-B80C-EA841AFD78FA}"/>
    <cellStyle name="40% - Accent2 5 4 5 2" xfId="7974" xr:uid="{1DE4E458-523B-412D-8E77-49622EEA93C8}"/>
    <cellStyle name="40% - Accent2 5 4 6" xfId="4645" xr:uid="{B8FF9D5F-6E7B-4C12-BFE9-1D68FDFD1FAB}"/>
    <cellStyle name="40% - Accent2 5 4 7" xfId="8821" xr:uid="{060A6ABF-1A36-4675-8B14-F0DC7696A591}"/>
    <cellStyle name="40% - Accent2 5 5" xfId="920" xr:uid="{790431E9-1045-4BA8-8559-9AEA642F5CB7}"/>
    <cellStyle name="40% - Accent2 5 5 2" xfId="5052" xr:uid="{8271A490-E3F1-4D8E-8DB2-89C0B21A02F5}"/>
    <cellStyle name="40% - Accent2 5 6" xfId="1748" xr:uid="{C68798E9-8570-4A7B-AB07-1522DD8310BE}"/>
    <cellStyle name="40% - Accent2 5 6 2" xfId="5879" xr:uid="{E01B8245-D24A-45ED-A91B-A2016F9C55F6}"/>
    <cellStyle name="40% - Accent2 5 7" xfId="2572" xr:uid="{8E964413-4A3A-4B32-B7A5-5412E5167C6C}"/>
    <cellStyle name="40% - Accent2 5 7 2" xfId="6703" xr:uid="{DE8ABF38-6489-4CDA-ADC4-F515E029CE1E}"/>
    <cellStyle name="40% - Accent2 5 8" xfId="3396" xr:uid="{2770E15B-E325-43A6-8030-77273617A948}"/>
    <cellStyle name="40% - Accent2 5 8 2" xfId="7555" xr:uid="{3F6FD31F-12EA-4C57-9CB9-D8407DD9F798}"/>
    <cellStyle name="40% - Accent2 5 9" xfId="4226" xr:uid="{9CF27345-5C3A-4343-B692-F38A77DDFBB0}"/>
    <cellStyle name="40% - Accent2 6" xfId="134" xr:uid="{00000000-0005-0000-0000-0000EC010000}"/>
    <cellStyle name="40% - Accent2 6 2" xfId="344" xr:uid="{00000000-0005-0000-0000-0000ED010000}"/>
    <cellStyle name="40% - Accent2 6 2 2" xfId="761" xr:uid="{00000000-0005-0000-0000-0000EE010000}"/>
    <cellStyle name="40% - Accent2 6 2 2 2" xfId="1587" xr:uid="{DA8D2975-7E5B-488C-B8E6-791D2572F24D}"/>
    <cellStyle name="40% - Accent2 6 2 2 2 2" xfId="5719" xr:uid="{C5D5DEC7-DCEB-489B-AE6F-1F38C5295592}"/>
    <cellStyle name="40% - Accent2 6 2 2 3" xfId="2415" xr:uid="{B9C3AF31-FC9B-48AC-B5CC-EA5DE3B30965}"/>
    <cellStyle name="40% - Accent2 6 2 2 3 2" xfId="6546" xr:uid="{22118937-4505-440D-A75B-DD4B7C3413B1}"/>
    <cellStyle name="40% - Accent2 6 2 2 4" xfId="3239" xr:uid="{3B4061DF-C703-4D3A-BF53-C75F2F51A053}"/>
    <cellStyle name="40% - Accent2 6 2 2 4 2" xfId="7370" xr:uid="{65555220-DDD5-4539-998F-3E9369583455}"/>
    <cellStyle name="40% - Accent2 6 2 2 5" xfId="4063" xr:uid="{535C87F6-A209-44FF-B4E4-AD6D5E8853BF}"/>
    <cellStyle name="40% - Accent2 6 2 2 5 2" xfId="8222" xr:uid="{D4A43013-A5C1-40E9-9A7C-16F2DAA05F52}"/>
    <cellStyle name="40% - Accent2 6 2 2 6" xfId="4893" xr:uid="{3714D3C7-0334-4DD3-A9E7-57C02036C255}"/>
    <cellStyle name="40% - Accent2 6 2 2 7" xfId="9069" xr:uid="{7C1F4D62-DC79-472A-B350-4BCAB2DB7333}"/>
    <cellStyle name="40% - Accent2 6 2 3" xfId="1170" xr:uid="{E913587C-2909-4402-B100-2658F2D7982D}"/>
    <cellStyle name="40% - Accent2 6 2 3 2" xfId="5302" xr:uid="{ADA081A9-7DA5-409D-AC39-537FF3035E45}"/>
    <cellStyle name="40% - Accent2 6 2 4" xfId="1998" xr:uid="{6ABC1C7A-48F3-4EE5-ABF9-CB3517A90E2E}"/>
    <cellStyle name="40% - Accent2 6 2 4 2" xfId="6129" xr:uid="{5263F6D8-1183-4AD4-8C49-2E2F6406578B}"/>
    <cellStyle name="40% - Accent2 6 2 5" xfId="2822" xr:uid="{476481AB-2735-4E53-97B8-FC4115EEAE8A}"/>
    <cellStyle name="40% - Accent2 6 2 5 2" xfId="6953" xr:uid="{EF8C8DE3-F769-4A94-8B7B-C6A8216C0821}"/>
    <cellStyle name="40% - Accent2 6 2 6" xfId="3646" xr:uid="{BFFD0DED-AB88-45B1-97AB-A10C7C303BD9}"/>
    <cellStyle name="40% - Accent2 6 2 6 2" xfId="7805" xr:uid="{3BC08499-4646-49D4-89AA-564DC0822F8B}"/>
    <cellStyle name="40% - Accent2 6 2 7" xfId="4476" xr:uid="{F51FB9A9-07A1-4516-88CC-7600210D0A6C}"/>
    <cellStyle name="40% - Accent2 6 2 8" xfId="8652" xr:uid="{0A2CCF97-5061-4B92-985A-184682D46D89}"/>
    <cellStyle name="40% - Accent2 6 3" xfId="553" xr:uid="{00000000-0005-0000-0000-0000EF010000}"/>
    <cellStyle name="40% - Accent2 6 3 2" xfId="1379" xr:uid="{3C36A279-C641-4B7B-87A5-227BDB9BB529}"/>
    <cellStyle name="40% - Accent2 6 3 2 2" xfId="5511" xr:uid="{3ED95DEE-45C6-4919-B71D-2B3800EBCE0C}"/>
    <cellStyle name="40% - Accent2 6 3 3" xfId="2207" xr:uid="{CEDE3BC6-AC9E-4513-8BEA-4C8F59B5B569}"/>
    <cellStyle name="40% - Accent2 6 3 3 2" xfId="6338" xr:uid="{2411551B-EB14-4EE7-B99E-136623FD801C}"/>
    <cellStyle name="40% - Accent2 6 3 4" xfId="3031" xr:uid="{4469BF01-B92F-44B0-B335-E45FD7DC0157}"/>
    <cellStyle name="40% - Accent2 6 3 4 2" xfId="7162" xr:uid="{04BB9EB9-1627-4688-AFE0-BCC2F1B81B75}"/>
    <cellStyle name="40% - Accent2 6 3 5" xfId="3855" xr:uid="{08D44A8B-34E9-409B-BBA7-3D99F68542CB}"/>
    <cellStyle name="40% - Accent2 6 3 5 2" xfId="8014" xr:uid="{FDAE3251-5B4D-4B39-AE05-EEDD77B98D10}"/>
    <cellStyle name="40% - Accent2 6 3 6" xfId="4685" xr:uid="{6A46B159-1845-4E0E-8B3C-E5B794ED957F}"/>
    <cellStyle name="40% - Accent2 6 3 7" xfId="8861" xr:uid="{1FCE960E-2329-4357-B87D-FF4AEC644F35}"/>
    <cellStyle name="40% - Accent2 6 4" xfId="960" xr:uid="{0C700CBD-142B-444C-8D51-07B8B928C95E}"/>
    <cellStyle name="40% - Accent2 6 4 2" xfId="5092" xr:uid="{BD5BC582-B832-47F9-B6BA-26E8C6955348}"/>
    <cellStyle name="40% - Accent2 6 5" xfId="1788" xr:uid="{47106584-780B-4A42-81A0-4E51F9554D40}"/>
    <cellStyle name="40% - Accent2 6 5 2" xfId="5919" xr:uid="{2D67333A-C3C1-474F-AA0D-7EFDB7CA81EA}"/>
    <cellStyle name="40% - Accent2 6 6" xfId="2612" xr:uid="{FC19327B-454C-451D-9519-A59620C94F23}"/>
    <cellStyle name="40% - Accent2 6 6 2" xfId="6743" xr:uid="{BC11648E-69F9-4621-93A5-0D61D1A0BBB7}"/>
    <cellStyle name="40% - Accent2 6 7" xfId="3436" xr:uid="{E0EC844B-08E0-4D7A-B7E8-69F2039D7FFC}"/>
    <cellStyle name="40% - Accent2 6 7 2" xfId="7595" xr:uid="{8686F60C-BC58-418E-A129-0B248EAD53D7}"/>
    <cellStyle name="40% - Accent2 6 8" xfId="4266" xr:uid="{C5ED51B0-242C-4DE0-8BA2-466AE584B9AE}"/>
    <cellStyle name="40% - Accent2 6 9" xfId="8442" xr:uid="{79BDCC13-BF83-4DAD-8D67-76B0D675A271}"/>
    <cellStyle name="40% - Accent2 7" xfId="147" xr:uid="{00000000-0005-0000-0000-0000F0010000}"/>
    <cellStyle name="40% - Accent2 7 2" xfId="356" xr:uid="{00000000-0005-0000-0000-0000F1010000}"/>
    <cellStyle name="40% - Accent2 7 2 2" xfId="773" xr:uid="{00000000-0005-0000-0000-0000F2010000}"/>
    <cellStyle name="40% - Accent2 7 2 2 2" xfId="1599" xr:uid="{83509FF1-590A-4FCA-B039-E467DD7A90AA}"/>
    <cellStyle name="40% - Accent2 7 2 2 2 2" xfId="5731" xr:uid="{792E7F70-2808-4E79-B03B-3F375E8FBDB2}"/>
    <cellStyle name="40% - Accent2 7 2 2 3" xfId="2427" xr:uid="{876E2444-9AD3-49D8-8DBA-8E81264400C9}"/>
    <cellStyle name="40% - Accent2 7 2 2 3 2" xfId="6558" xr:uid="{84A07732-D3D0-4E12-A006-D56CA12ED3F1}"/>
    <cellStyle name="40% - Accent2 7 2 2 4" xfId="3251" xr:uid="{CC2D1001-D1DF-48A2-A1EF-39886DE8F4F0}"/>
    <cellStyle name="40% - Accent2 7 2 2 4 2" xfId="7382" xr:uid="{71F6ECD7-4A38-484C-A618-0E5E97A3287A}"/>
    <cellStyle name="40% - Accent2 7 2 2 5" xfId="4075" xr:uid="{D55938F1-366D-4AF7-B79A-CC204BD51335}"/>
    <cellStyle name="40% - Accent2 7 2 2 5 2" xfId="8234" xr:uid="{F8F26173-1C51-4FB6-BA60-8389B447DF39}"/>
    <cellStyle name="40% - Accent2 7 2 2 6" xfId="4905" xr:uid="{936C6C92-C7E7-4D4E-B3FC-5EEC50781FFE}"/>
    <cellStyle name="40% - Accent2 7 2 2 7" xfId="9081" xr:uid="{6AB8BDE1-0B3A-4B9C-BDFC-77B0F354DB9A}"/>
    <cellStyle name="40% - Accent2 7 2 3" xfId="1182" xr:uid="{763713D2-A3D1-4F50-A7DD-23FE4F4F8052}"/>
    <cellStyle name="40% - Accent2 7 2 3 2" xfId="5314" xr:uid="{77E0E638-06E4-48C6-9512-7344928EF295}"/>
    <cellStyle name="40% - Accent2 7 2 4" xfId="2010" xr:uid="{BE3E00A1-A252-4D6E-AF82-23F5039B8337}"/>
    <cellStyle name="40% - Accent2 7 2 4 2" xfId="6141" xr:uid="{EBC99B41-5027-4CA8-8B8A-B02B34EBF4F1}"/>
    <cellStyle name="40% - Accent2 7 2 5" xfId="2834" xr:uid="{FE7F9B17-FFD3-4C11-9324-559B4E00F0B0}"/>
    <cellStyle name="40% - Accent2 7 2 5 2" xfId="6965" xr:uid="{8C25EC11-FD38-490F-8839-26BD46B2B05D}"/>
    <cellStyle name="40% - Accent2 7 2 6" xfId="3658" xr:uid="{9989F806-7C46-4F56-A0C1-D18341ED2ED2}"/>
    <cellStyle name="40% - Accent2 7 2 6 2" xfId="7817" xr:uid="{0DC49C75-DB16-41EA-A567-47FB4160B134}"/>
    <cellStyle name="40% - Accent2 7 2 7" xfId="4488" xr:uid="{AA608A01-1979-4876-B77E-2A99E116AAE2}"/>
    <cellStyle name="40% - Accent2 7 2 8" xfId="8664" xr:uid="{7FF4388B-E6DF-4951-B24E-030F326D0826}"/>
    <cellStyle name="40% - Accent2 7 3" xfId="565" xr:uid="{00000000-0005-0000-0000-0000F3010000}"/>
    <cellStyle name="40% - Accent2 7 3 2" xfId="1391" xr:uid="{27C6E92B-6A74-428F-8790-AC74121A804C}"/>
    <cellStyle name="40% - Accent2 7 3 2 2" xfId="5523" xr:uid="{7DACF9EC-66A1-48E6-8685-81F906B4F27E}"/>
    <cellStyle name="40% - Accent2 7 3 3" xfId="2219" xr:uid="{ED51E8A2-1EA8-4025-ADFD-B9ADEBB9FF64}"/>
    <cellStyle name="40% - Accent2 7 3 3 2" xfId="6350" xr:uid="{7A703190-532D-4922-8F83-172889549E22}"/>
    <cellStyle name="40% - Accent2 7 3 4" xfId="3043" xr:uid="{67BA5666-5395-4523-8173-95AA1A2DA17F}"/>
    <cellStyle name="40% - Accent2 7 3 4 2" xfId="7174" xr:uid="{166B35E7-039C-49D1-B946-54D532A8D411}"/>
    <cellStyle name="40% - Accent2 7 3 5" xfId="3867" xr:uid="{146FD1DE-E581-4FDF-9DE1-056EB94CA1F7}"/>
    <cellStyle name="40% - Accent2 7 3 5 2" xfId="8026" xr:uid="{588832B6-ACE1-498F-A96C-CF1E44BBEB6E}"/>
    <cellStyle name="40% - Accent2 7 3 6" xfId="4697" xr:uid="{69C5621A-EC96-4ACF-8480-7B9D21B76070}"/>
    <cellStyle name="40% - Accent2 7 3 7" xfId="8873" xr:uid="{A4938B33-A7DB-4A7C-94F8-EDA741326EBF}"/>
    <cellStyle name="40% - Accent2 7 4" xfId="973" xr:uid="{5BE15724-BE34-4E44-8F42-823CA0F9FC9C}"/>
    <cellStyle name="40% - Accent2 7 4 2" xfId="5105" xr:uid="{974F9EC7-F6A6-4D8A-AD82-80FFE0264C88}"/>
    <cellStyle name="40% - Accent2 7 5" xfId="1801" xr:uid="{24E6F2DE-D517-4BD4-80AD-66362496B83C}"/>
    <cellStyle name="40% - Accent2 7 5 2" xfId="5932" xr:uid="{2FBDE3DA-6E32-4F98-8F18-40358A85A2C8}"/>
    <cellStyle name="40% - Accent2 7 6" xfId="2625" xr:uid="{40B96D49-9D88-4C3E-877E-6A7063A87AE0}"/>
    <cellStyle name="40% - Accent2 7 6 2" xfId="6756" xr:uid="{9019165D-0082-4664-9420-8BCCF9E0C0FD}"/>
    <cellStyle name="40% - Accent2 7 7" xfId="3449" xr:uid="{3F4D1820-906E-4963-9EA8-A56C068C859B}"/>
    <cellStyle name="40% - Accent2 7 7 2" xfId="7608" xr:uid="{4F78B176-BB41-47F4-BAEB-51CC1948832B}"/>
    <cellStyle name="40% - Accent2 7 8" xfId="4279" xr:uid="{8EA90D6A-83D3-44C2-97AB-95C023F36BA5}"/>
    <cellStyle name="40% - Accent2 7 9" xfId="8455" xr:uid="{35C83200-CFCB-48EC-9BF0-BF9633BA7777}"/>
    <cellStyle name="40% - Accent2 8" xfId="239" xr:uid="{00000000-0005-0000-0000-0000F4010000}"/>
    <cellStyle name="40% - Accent2 8 2" xfId="657" xr:uid="{00000000-0005-0000-0000-0000F5010000}"/>
    <cellStyle name="40% - Accent2 8 2 2" xfId="1483" xr:uid="{D533CE05-9B59-4F02-AA85-B27E61F9F4BC}"/>
    <cellStyle name="40% - Accent2 8 2 2 2" xfId="5615" xr:uid="{BEFF48FC-B7B0-4EAC-A872-750845B8D0EE}"/>
    <cellStyle name="40% - Accent2 8 2 3" xfId="2311" xr:uid="{C143A11B-3606-4C58-BB18-1D2EDAD36477}"/>
    <cellStyle name="40% - Accent2 8 2 3 2" xfId="6442" xr:uid="{DDCD21D7-656D-442A-A7F1-BE0D3ADB9F55}"/>
    <cellStyle name="40% - Accent2 8 2 4" xfId="3135" xr:uid="{9D73065C-64BD-4A1B-8643-09F43A208755}"/>
    <cellStyle name="40% - Accent2 8 2 4 2" xfId="7266" xr:uid="{85DED39D-9D92-443D-A942-6EF872F2CFF4}"/>
    <cellStyle name="40% - Accent2 8 2 5" xfId="3959" xr:uid="{CC662B9C-F244-462C-BBA9-CDF48B0A283A}"/>
    <cellStyle name="40% - Accent2 8 2 5 2" xfId="8118" xr:uid="{6B2846E4-B82D-4652-8BEC-586822D880F7}"/>
    <cellStyle name="40% - Accent2 8 2 6" xfId="4789" xr:uid="{3A310AF5-4D43-47A9-8A60-C91721B87D30}"/>
    <cellStyle name="40% - Accent2 8 2 7" xfId="8965" xr:uid="{931A2C07-38A0-462C-9549-40582470A02B}"/>
    <cellStyle name="40% - Accent2 8 3" xfId="1065" xr:uid="{CA543A4B-230F-48E0-BF51-72F7FC4F43CC}"/>
    <cellStyle name="40% - Accent2 8 3 2" xfId="5197" xr:uid="{AF7AF2A8-460C-4A3D-8D9B-CC4A8BBA61D2}"/>
    <cellStyle name="40% - Accent2 8 4" xfId="1893" xr:uid="{5FBDDE45-FEFB-4725-9630-7CCB14E2C7E8}"/>
    <cellStyle name="40% - Accent2 8 4 2" xfId="6024" xr:uid="{A4821059-170A-4D5F-BD47-F55EC2B9A507}"/>
    <cellStyle name="40% - Accent2 8 5" xfId="2717" xr:uid="{DD1D9773-D678-4801-8FF3-C4049EF28538}"/>
    <cellStyle name="40% - Accent2 8 5 2" xfId="6848" xr:uid="{12CECE50-D980-4A8F-8983-2ABBF77B7F12}"/>
    <cellStyle name="40% - Accent2 8 6" xfId="3541" xr:uid="{608F2B63-650A-426C-8AE4-07E7D78E3A3A}"/>
    <cellStyle name="40% - Accent2 8 6 2" xfId="7700" xr:uid="{BC283059-902F-4417-8F66-9A0A172AD0A3}"/>
    <cellStyle name="40% - Accent2 8 7" xfId="4371" xr:uid="{D060834F-79A7-42D8-9140-8C2892A344DC}"/>
    <cellStyle name="40% - Accent2 8 8" xfId="8547" xr:uid="{F605045D-052D-478E-8F89-C2C03E47441B}"/>
    <cellStyle name="40% - Accent2 9" xfId="252" xr:uid="{00000000-0005-0000-0000-0000F6010000}"/>
    <cellStyle name="40% - Accent2 9 2" xfId="669" xr:uid="{00000000-0005-0000-0000-0000F7010000}"/>
    <cellStyle name="40% - Accent2 9 2 2" xfId="1495" xr:uid="{792036F8-6FC0-46BD-8146-5EE805D6D7C4}"/>
    <cellStyle name="40% - Accent2 9 2 2 2" xfId="5627" xr:uid="{703C4732-077E-416C-9A29-D1C186F0A668}"/>
    <cellStyle name="40% - Accent2 9 2 3" xfId="2323" xr:uid="{EE0C171E-EBAD-4261-A174-B8A484459EB5}"/>
    <cellStyle name="40% - Accent2 9 2 3 2" xfId="6454" xr:uid="{144C50EF-47E5-40E5-99AA-1C601F8E759C}"/>
    <cellStyle name="40% - Accent2 9 2 4" xfId="3147" xr:uid="{CF61DE5A-B7C1-4B9F-80D4-D1A209E168A4}"/>
    <cellStyle name="40% - Accent2 9 2 4 2" xfId="7278" xr:uid="{9B104369-A0B2-4D1B-A043-CE3BA4B157A7}"/>
    <cellStyle name="40% - Accent2 9 2 5" xfId="3971" xr:uid="{1D0753EB-FB17-4979-AF93-47F3E33A0031}"/>
    <cellStyle name="40% - Accent2 9 2 5 2" xfId="8130" xr:uid="{1C13B227-C535-4CFD-8E1C-061F237D8F9A}"/>
    <cellStyle name="40% - Accent2 9 2 6" xfId="4801" xr:uid="{562A1AB0-7191-474D-A737-DC18C3EB3BB5}"/>
    <cellStyle name="40% - Accent2 9 2 7" xfId="8977" xr:uid="{B421C6A2-EA21-4ACB-971B-1FCABED7AAE4}"/>
    <cellStyle name="40% - Accent2 9 3" xfId="1078" xr:uid="{1E6C9AD8-E9BE-418D-8DA8-AF0395FBE60B}"/>
    <cellStyle name="40% - Accent2 9 3 2" xfId="5210" xr:uid="{D7BFE1EC-7FB2-44F7-85EC-417951843ABA}"/>
    <cellStyle name="40% - Accent2 9 4" xfId="1906" xr:uid="{432D7FBC-9159-4C70-B95D-CB1809369A79}"/>
    <cellStyle name="40% - Accent2 9 4 2" xfId="6037" xr:uid="{C1DCF18C-3D7C-4A18-BADF-7CA809A8B84A}"/>
    <cellStyle name="40% - Accent2 9 5" xfId="2730" xr:uid="{A65FC706-F1E1-4EA9-9109-34492FA56E95}"/>
    <cellStyle name="40% - Accent2 9 5 2" xfId="6861" xr:uid="{9B91D1B2-4582-4CA6-84A5-F98487C5A575}"/>
    <cellStyle name="40% - Accent2 9 6" xfId="3554" xr:uid="{414F1C09-381E-4EB8-8D22-B8CCF031336F}"/>
    <cellStyle name="40% - Accent2 9 6 2" xfId="7713" xr:uid="{516272A9-4AC8-477D-925F-2EA933ABD103}"/>
    <cellStyle name="40% - Accent2 9 7" xfId="4384" xr:uid="{F1D2EBB5-3CC9-4036-BA9B-8D3E07884B3F}"/>
    <cellStyle name="40% - Accent2 9 8" xfId="8560" xr:uid="{6DF8D236-24B9-4A7E-A3AF-63A81E0F34A4}"/>
    <cellStyle name="40% - Accent3" xfId="30" builtinId="39" customBuiltin="1"/>
    <cellStyle name="40% - Accent3 10" xfId="450" xr:uid="{00000000-0005-0000-0000-0000F9010000}"/>
    <cellStyle name="40% - Accent3 10 2" xfId="1276" xr:uid="{A1000BA1-83CA-4E77-ACA2-610E0A88B9D1}"/>
    <cellStyle name="40% - Accent3 10 2 2" xfId="5408" xr:uid="{D721C12E-A0E2-4B66-AFC2-038D3428EE94}"/>
    <cellStyle name="40% - Accent3 10 3" xfId="2104" xr:uid="{40C47E49-B40B-4A13-B8CE-A48493EA87BA}"/>
    <cellStyle name="40% - Accent3 10 3 2" xfId="6235" xr:uid="{4E050C56-AD37-45B8-9C46-A9AC9F60A5D4}"/>
    <cellStyle name="40% - Accent3 10 4" xfId="2928" xr:uid="{614E2BF6-44C3-4382-8D46-8083FFA719C6}"/>
    <cellStyle name="40% - Accent3 10 4 2" xfId="7059" xr:uid="{35B4E4A9-9AA2-470B-A114-46BAAFE882DA}"/>
    <cellStyle name="40% - Accent3 10 5" xfId="3752" xr:uid="{F4ECB9BF-E2F6-40D7-B067-F6F20AB9574D}"/>
    <cellStyle name="40% - Accent3 10 5 2" xfId="7911" xr:uid="{0C35F8AC-03A3-437F-AA59-E225D2AC493B}"/>
    <cellStyle name="40% - Accent3 10 6" xfId="4582" xr:uid="{C0318525-8090-4F27-A2D7-8FF99F4EDA0C}"/>
    <cellStyle name="40% - Accent3 10 7" xfId="8758" xr:uid="{E8C56747-0A63-49AF-B69C-826421F9351E}"/>
    <cellStyle name="40% - Accent3 11" xfId="463" xr:uid="{00000000-0005-0000-0000-0000FA010000}"/>
    <cellStyle name="40% - Accent3 11 2" xfId="1289" xr:uid="{CB6089D0-21CD-4759-AC31-62B2AF433884}"/>
    <cellStyle name="40% - Accent3 11 2 2" xfId="5421" xr:uid="{FF518938-EFAD-43F2-8794-401704F679B5}"/>
    <cellStyle name="40% - Accent3 11 3" xfId="2117" xr:uid="{E518C1F2-F8A4-4C81-B935-3C766E602871}"/>
    <cellStyle name="40% - Accent3 11 3 2" xfId="6248" xr:uid="{919DE4C6-6D22-4B08-945A-F55F9FF96B98}"/>
    <cellStyle name="40% - Accent3 11 4" xfId="2941" xr:uid="{DCA7B722-6287-43CE-AF30-4103A221A92E}"/>
    <cellStyle name="40% - Accent3 11 4 2" xfId="7072" xr:uid="{6FBEF103-09FC-4F38-8D20-04E8140C5282}"/>
    <cellStyle name="40% - Accent3 11 5" xfId="3765" xr:uid="{0BCF9982-9592-4963-AE3A-5D2E355C7D28}"/>
    <cellStyle name="40% - Accent3 11 5 2" xfId="7924" xr:uid="{93A679BD-D507-495F-8F01-C952D05032F9}"/>
    <cellStyle name="40% - Accent3 11 6" xfId="4595" xr:uid="{89FF9DF3-1BB4-49E0-A920-BABFD1202F10}"/>
    <cellStyle name="40% - Accent3 11 7" xfId="8771" xr:uid="{9A845762-8320-4298-9AB8-EA4C8B6353BE}"/>
    <cellStyle name="40% - Accent3 12" xfId="868" xr:uid="{E72AF34E-F818-4271-8988-EAE0B7881DB7}"/>
    <cellStyle name="40% - Accent3 12 2" xfId="5000" xr:uid="{0E48CDA5-E108-4047-8A25-EF9DB27A9C76}"/>
    <cellStyle name="40% - Accent3 13" xfId="1697" xr:uid="{F317DA92-39A0-444E-BB23-B3F22E79C876}"/>
    <cellStyle name="40% - Accent3 13 2" xfId="5828" xr:uid="{2477DAA5-8CFC-4265-9F14-3874F9F8CDD9}"/>
    <cellStyle name="40% - Accent3 14" xfId="2521" xr:uid="{38CA2311-610F-4709-8D2E-EA5853821B3B}"/>
    <cellStyle name="40% - Accent3 14 2" xfId="6652" xr:uid="{6B90029A-A13B-45C8-A37D-98CF52E076FF}"/>
    <cellStyle name="40% - Accent3 15" xfId="3345" xr:uid="{3295DBF1-2DF5-453A-AC13-33F230C46C1D}"/>
    <cellStyle name="40% - Accent3 15 2" xfId="7504" xr:uid="{2CA6C39B-EA4F-4A35-8B0E-55C27ED9D0B0}"/>
    <cellStyle name="40% - Accent3 16" xfId="4174" xr:uid="{DA4828C0-0FB3-40FC-9938-E2B0536497C1}"/>
    <cellStyle name="40% - Accent3 17" xfId="8351" xr:uid="{7FD7F484-9708-4247-AD70-23D2521ACC0E}"/>
    <cellStyle name="40% - Accent3 2" xfId="57" xr:uid="{00000000-0005-0000-0000-0000FB010000}"/>
    <cellStyle name="40% - Accent3 2 10" xfId="4189" xr:uid="{7A41D310-78E5-4A7A-BEB5-98241886973A}"/>
    <cellStyle name="40% - Accent3 2 11" xfId="8365" xr:uid="{8594B709-2DFF-4C09-A55D-5D7693A8D547}"/>
    <cellStyle name="40% - Accent3 2 2" xfId="110" xr:uid="{00000000-0005-0000-0000-0000FC010000}"/>
    <cellStyle name="40% - Accent3 2 2 10" xfId="8418" xr:uid="{9D83AF6B-6E5A-45B7-86F5-55FED78C85D4}"/>
    <cellStyle name="40% - Accent3 2 2 2" xfId="215" xr:uid="{00000000-0005-0000-0000-0000FD010000}"/>
    <cellStyle name="40% - Accent3 2 2 2 2" xfId="424" xr:uid="{00000000-0005-0000-0000-0000FE010000}"/>
    <cellStyle name="40% - Accent3 2 2 2 2 2" xfId="841" xr:uid="{00000000-0005-0000-0000-0000FF010000}"/>
    <cellStyle name="40% - Accent3 2 2 2 2 2 2" xfId="1667" xr:uid="{1C79F5BC-7461-4E9E-A31E-5E1B3FC1644E}"/>
    <cellStyle name="40% - Accent3 2 2 2 2 2 2 2" xfId="5799" xr:uid="{E8E8B552-8CB1-4554-972C-5262A399E65E}"/>
    <cellStyle name="40% - Accent3 2 2 2 2 2 3" xfId="2495" xr:uid="{9D70AFC6-4408-437C-B3EA-361E223CAF20}"/>
    <cellStyle name="40% - Accent3 2 2 2 2 2 3 2" xfId="6626" xr:uid="{D76B410A-FEAA-41EE-BC37-16D8D2673C66}"/>
    <cellStyle name="40% - Accent3 2 2 2 2 2 4" xfId="3319" xr:uid="{A6831698-6AE2-417C-A63B-117FD69CB0FA}"/>
    <cellStyle name="40% - Accent3 2 2 2 2 2 4 2" xfId="7450" xr:uid="{BCA44C38-9CD3-4DBE-B5C4-7E44B8EAC5AD}"/>
    <cellStyle name="40% - Accent3 2 2 2 2 2 5" xfId="4143" xr:uid="{3378E049-34B0-4369-94B3-0513B160514E}"/>
    <cellStyle name="40% - Accent3 2 2 2 2 2 5 2" xfId="8302" xr:uid="{31AE2B42-3F54-48F2-8BB8-8274459ED919}"/>
    <cellStyle name="40% - Accent3 2 2 2 2 2 6" xfId="4973" xr:uid="{C3B81920-32D1-410E-9F5E-E4BD0F21769E}"/>
    <cellStyle name="40% - Accent3 2 2 2 2 2 7" xfId="9149" xr:uid="{D2BDC116-490E-4BBA-B71D-CE6FE1910FEB}"/>
    <cellStyle name="40% - Accent3 2 2 2 2 3" xfId="1250" xr:uid="{2812C58B-9A40-4F2C-8EF4-062BBE466512}"/>
    <cellStyle name="40% - Accent3 2 2 2 2 3 2" xfId="5382" xr:uid="{AA85A92E-F385-4074-9A3F-C91844C0336A}"/>
    <cellStyle name="40% - Accent3 2 2 2 2 4" xfId="2078" xr:uid="{C65C95D7-F7F2-4FC0-91F7-3370A0DC6D81}"/>
    <cellStyle name="40% - Accent3 2 2 2 2 4 2" xfId="6209" xr:uid="{6263B0DB-33C8-469B-8C35-2C9D84C843D5}"/>
    <cellStyle name="40% - Accent3 2 2 2 2 5" xfId="2902" xr:uid="{5C4F3EEC-96CD-4403-B743-D07D522EC09A}"/>
    <cellStyle name="40% - Accent3 2 2 2 2 5 2" xfId="7033" xr:uid="{93447F97-B3BC-443E-A4E7-5B281057525E}"/>
    <cellStyle name="40% - Accent3 2 2 2 2 6" xfId="3726" xr:uid="{747DDC68-A6F2-4CC5-AF2F-0D4EC2E4B978}"/>
    <cellStyle name="40% - Accent3 2 2 2 2 6 2" xfId="7885" xr:uid="{844D0C8F-CDE8-426D-943D-E3E800FA31C7}"/>
    <cellStyle name="40% - Accent3 2 2 2 2 7" xfId="4556" xr:uid="{2A0FBCAC-A77E-42B5-AED5-0F3005935D74}"/>
    <cellStyle name="40% - Accent3 2 2 2 2 8" xfId="8732" xr:uid="{FFC185DF-8102-4952-BF5B-04B422A928B6}"/>
    <cellStyle name="40% - Accent3 2 2 2 3" xfId="633" xr:uid="{00000000-0005-0000-0000-000000020000}"/>
    <cellStyle name="40% - Accent3 2 2 2 3 2" xfId="1459" xr:uid="{9B46E8EB-3F64-4FD5-B466-3514CBF37BCB}"/>
    <cellStyle name="40% - Accent3 2 2 2 3 2 2" xfId="5591" xr:uid="{C3A4BDDF-1753-4D4E-8C44-828D3F3B2CC2}"/>
    <cellStyle name="40% - Accent3 2 2 2 3 3" xfId="2287" xr:uid="{E8B18FD9-6919-4C01-8DAB-D0190FCEFC61}"/>
    <cellStyle name="40% - Accent3 2 2 2 3 3 2" xfId="6418" xr:uid="{27468C34-D6CA-419B-8DE5-4E48DB317278}"/>
    <cellStyle name="40% - Accent3 2 2 2 3 4" xfId="3111" xr:uid="{EF9BF114-BCA4-41E8-9020-FE776EBF7128}"/>
    <cellStyle name="40% - Accent3 2 2 2 3 4 2" xfId="7242" xr:uid="{7111A2B7-C62B-49DD-8B91-00F246B9285B}"/>
    <cellStyle name="40% - Accent3 2 2 2 3 5" xfId="3935" xr:uid="{50691FA7-3AA4-4A35-AB7E-36FD168ED8F8}"/>
    <cellStyle name="40% - Accent3 2 2 2 3 5 2" xfId="8094" xr:uid="{FAE9E0C8-90FD-4B19-AA9A-9953FFF79722}"/>
    <cellStyle name="40% - Accent3 2 2 2 3 6" xfId="4765" xr:uid="{8903A348-5DE5-48F1-B897-C439730C102F}"/>
    <cellStyle name="40% - Accent3 2 2 2 3 7" xfId="8941" xr:uid="{A3F0A312-AB09-4F9F-BD9D-FB99CF6F00C1}"/>
    <cellStyle name="40% - Accent3 2 2 2 4" xfId="1041" xr:uid="{3C08A327-4DA4-4E12-BBCE-238AB1940518}"/>
    <cellStyle name="40% - Accent3 2 2 2 4 2" xfId="5173" xr:uid="{9D16B1AA-D263-48C3-B772-87F27CE97CF7}"/>
    <cellStyle name="40% - Accent3 2 2 2 5" xfId="1869" xr:uid="{29931DB5-3B77-4CB3-A23B-94E9D182AE2B}"/>
    <cellStyle name="40% - Accent3 2 2 2 5 2" xfId="6000" xr:uid="{B50629E7-CC4D-48C7-9353-50F333856C5C}"/>
    <cellStyle name="40% - Accent3 2 2 2 6" xfId="2693" xr:uid="{E42261BB-3AC1-4662-80D2-7B7086C2B160}"/>
    <cellStyle name="40% - Accent3 2 2 2 6 2" xfId="6824" xr:uid="{90D8FD21-2433-4A50-B060-856B340A6D1D}"/>
    <cellStyle name="40% - Accent3 2 2 2 7" xfId="3517" xr:uid="{2F6B4FF1-197B-4C3B-99C6-208918364AEB}"/>
    <cellStyle name="40% - Accent3 2 2 2 7 2" xfId="7676" xr:uid="{55D5452D-26BD-43CF-8E07-7C94D9E7E65F}"/>
    <cellStyle name="40% - Accent3 2 2 2 8" xfId="4347" xr:uid="{8AFBA230-0A7B-43AC-991C-70CB290A6E94}"/>
    <cellStyle name="40% - Accent3 2 2 2 9" xfId="8523" xr:uid="{DCD5DB4C-5B94-4A1E-B157-60F40899A71B}"/>
    <cellStyle name="40% - Accent3 2 2 3" xfId="320" xr:uid="{00000000-0005-0000-0000-000001020000}"/>
    <cellStyle name="40% - Accent3 2 2 3 2" xfId="737" xr:uid="{00000000-0005-0000-0000-000002020000}"/>
    <cellStyle name="40% - Accent3 2 2 3 2 2" xfId="1563" xr:uid="{1AF60F71-2996-47CF-9466-D201EC7FA5C3}"/>
    <cellStyle name="40% - Accent3 2 2 3 2 2 2" xfId="5695" xr:uid="{AFAF5996-900D-4161-9FAC-3759E2F7C129}"/>
    <cellStyle name="40% - Accent3 2 2 3 2 3" xfId="2391" xr:uid="{4067B305-C643-47EC-BFE2-8816927896A1}"/>
    <cellStyle name="40% - Accent3 2 2 3 2 3 2" xfId="6522" xr:uid="{FCC82CF5-5928-4AFB-BE7C-17A4330C79DE}"/>
    <cellStyle name="40% - Accent3 2 2 3 2 4" xfId="3215" xr:uid="{AB9BD17F-9A4E-4439-9E8B-C42AA1B87F43}"/>
    <cellStyle name="40% - Accent3 2 2 3 2 4 2" xfId="7346" xr:uid="{79F52F31-43F1-4EA1-BA6F-C823D13B264F}"/>
    <cellStyle name="40% - Accent3 2 2 3 2 5" xfId="4039" xr:uid="{6ED296A2-2DC5-4875-A71D-28CA389F6A6F}"/>
    <cellStyle name="40% - Accent3 2 2 3 2 5 2" xfId="8198" xr:uid="{E6F87A32-D26D-44A7-A443-90EA4486FBF7}"/>
    <cellStyle name="40% - Accent3 2 2 3 2 6" xfId="4869" xr:uid="{19822FE7-0853-4A06-9A5D-06B8FEF1C304}"/>
    <cellStyle name="40% - Accent3 2 2 3 2 7" xfId="9045" xr:uid="{39B6D5E9-E00D-40FC-BE61-1E2392898766}"/>
    <cellStyle name="40% - Accent3 2 2 3 3" xfId="1146" xr:uid="{E2A16242-36FB-48C3-99D6-A0A647823B89}"/>
    <cellStyle name="40% - Accent3 2 2 3 3 2" xfId="5278" xr:uid="{60D733A3-BA12-40AC-9637-4970FA077D49}"/>
    <cellStyle name="40% - Accent3 2 2 3 4" xfId="1974" xr:uid="{F43C90F4-F65C-4388-BC12-7DA9A8D9D027}"/>
    <cellStyle name="40% - Accent3 2 2 3 4 2" xfId="6105" xr:uid="{9FCCFFAB-FABB-4AD9-97F2-3E39DDE6948A}"/>
    <cellStyle name="40% - Accent3 2 2 3 5" xfId="2798" xr:uid="{E70D342B-FC16-4BDE-A6C6-ED265BD1B974}"/>
    <cellStyle name="40% - Accent3 2 2 3 5 2" xfId="6929" xr:uid="{285BD75F-362F-4961-9250-08574C1C32A1}"/>
    <cellStyle name="40% - Accent3 2 2 3 6" xfId="3622" xr:uid="{022F8538-F16D-4A8D-B016-42FC13DDCB18}"/>
    <cellStyle name="40% - Accent3 2 2 3 6 2" xfId="7781" xr:uid="{CD47A775-CB68-4718-A9EA-342A428FCD8A}"/>
    <cellStyle name="40% - Accent3 2 2 3 7" xfId="4452" xr:uid="{C566FA8B-86E9-4D93-A2D1-7BD94B285BF8}"/>
    <cellStyle name="40% - Accent3 2 2 3 8" xfId="8628" xr:uid="{272A76C8-A21B-457E-9CAC-A3781E2C5A85}"/>
    <cellStyle name="40% - Accent3 2 2 4" xfId="529" xr:uid="{00000000-0005-0000-0000-000003020000}"/>
    <cellStyle name="40% - Accent3 2 2 4 2" xfId="1355" xr:uid="{537E0A70-274F-49E0-AAF4-1560C60B3CDE}"/>
    <cellStyle name="40% - Accent3 2 2 4 2 2" xfId="5487" xr:uid="{B2935B6B-4B7E-4CDD-8143-395F39DF511D}"/>
    <cellStyle name="40% - Accent3 2 2 4 3" xfId="2183" xr:uid="{D2F9CDFA-F189-4C5F-97EA-D0D7EEE0E81C}"/>
    <cellStyle name="40% - Accent3 2 2 4 3 2" xfId="6314" xr:uid="{D8DBD1E4-98D8-4FFC-BD4F-200638723C00}"/>
    <cellStyle name="40% - Accent3 2 2 4 4" xfId="3007" xr:uid="{466973A0-3CB4-4037-83A6-1AF02910F832}"/>
    <cellStyle name="40% - Accent3 2 2 4 4 2" xfId="7138" xr:uid="{6E7051A2-EAF0-46B1-860C-F09F8F20874B}"/>
    <cellStyle name="40% - Accent3 2 2 4 5" xfId="3831" xr:uid="{5593A45D-83F7-476D-AE95-3D7152313880}"/>
    <cellStyle name="40% - Accent3 2 2 4 5 2" xfId="7990" xr:uid="{604B5DAB-CE03-4C85-B12D-F85C3B0EC8FB}"/>
    <cellStyle name="40% - Accent3 2 2 4 6" xfId="4661" xr:uid="{78E94DFB-C054-4B97-8784-504872D33E6E}"/>
    <cellStyle name="40% - Accent3 2 2 4 7" xfId="8837" xr:uid="{4F092B45-FECB-48F9-8E1A-9C745006FDA2}"/>
    <cellStyle name="40% - Accent3 2 2 5" xfId="936" xr:uid="{8CD24EAD-634E-4D94-A8D7-CC76842E044F}"/>
    <cellStyle name="40% - Accent3 2 2 5 2" xfId="5068" xr:uid="{1F2FBA58-0B07-4103-8DE9-DB3418915F40}"/>
    <cellStyle name="40% - Accent3 2 2 6" xfId="1764" xr:uid="{D50EC38F-C7C1-4943-B005-57F60FA6CB37}"/>
    <cellStyle name="40% - Accent3 2 2 6 2" xfId="5895" xr:uid="{4DE397E3-1CF4-47AF-B01A-B4EDBAFD8B59}"/>
    <cellStyle name="40% - Accent3 2 2 7" xfId="2588" xr:uid="{B6D90DFD-6BA0-4321-911A-672CD9086A85}"/>
    <cellStyle name="40% - Accent3 2 2 7 2" xfId="6719" xr:uid="{CDFFF21A-44A5-4FCB-B236-CBDC420794FD}"/>
    <cellStyle name="40% - Accent3 2 2 8" xfId="3412" xr:uid="{C5165D19-A037-4E7A-9A2F-E517CE303809}"/>
    <cellStyle name="40% - Accent3 2 2 8 2" xfId="7571" xr:uid="{1105DC01-AB2E-4FD5-937C-89F04FA639F8}"/>
    <cellStyle name="40% - Accent3 2 2 9" xfId="4242" xr:uid="{9A6F0A50-EB52-46CD-9528-3E19FC434935}"/>
    <cellStyle name="40% - Accent3 2 3" xfId="163" xr:uid="{00000000-0005-0000-0000-000004020000}"/>
    <cellStyle name="40% - Accent3 2 3 2" xfId="372" xr:uid="{00000000-0005-0000-0000-000005020000}"/>
    <cellStyle name="40% - Accent3 2 3 2 2" xfId="789" xr:uid="{00000000-0005-0000-0000-000006020000}"/>
    <cellStyle name="40% - Accent3 2 3 2 2 2" xfId="1615" xr:uid="{A85A3E0A-02DA-4E5F-B2E4-50CF3F8F89A1}"/>
    <cellStyle name="40% - Accent3 2 3 2 2 2 2" xfId="5747" xr:uid="{C8CA6859-30FC-4B13-B215-9579D5985B6E}"/>
    <cellStyle name="40% - Accent3 2 3 2 2 3" xfId="2443" xr:uid="{95459E2F-7CB1-4964-8049-8FFCC3978943}"/>
    <cellStyle name="40% - Accent3 2 3 2 2 3 2" xfId="6574" xr:uid="{FDDD15BA-DB14-4F72-B2AB-518131CFAE80}"/>
    <cellStyle name="40% - Accent3 2 3 2 2 4" xfId="3267" xr:uid="{66AFA508-86E8-4092-97B1-F709123B4FC5}"/>
    <cellStyle name="40% - Accent3 2 3 2 2 4 2" xfId="7398" xr:uid="{46CDB0E4-B1B8-482B-821D-8F789EB49891}"/>
    <cellStyle name="40% - Accent3 2 3 2 2 5" xfId="4091" xr:uid="{3A78F665-D79B-4A0E-8946-55C923DD4FA5}"/>
    <cellStyle name="40% - Accent3 2 3 2 2 5 2" xfId="8250" xr:uid="{4CD0CE4E-F65A-4108-9C4A-C3F161D7D0A8}"/>
    <cellStyle name="40% - Accent3 2 3 2 2 6" xfId="4921" xr:uid="{BEFAE77B-2605-4244-9E58-8F0F86298228}"/>
    <cellStyle name="40% - Accent3 2 3 2 2 7" xfId="9097" xr:uid="{C9557BB4-52BD-4690-AE8C-BE4082BAEEF7}"/>
    <cellStyle name="40% - Accent3 2 3 2 3" xfId="1198" xr:uid="{7A18D3AC-C618-4D71-AC97-6F24546EAEDD}"/>
    <cellStyle name="40% - Accent3 2 3 2 3 2" xfId="5330" xr:uid="{8D9A8DE6-6238-4E75-8323-F8547696AD14}"/>
    <cellStyle name="40% - Accent3 2 3 2 4" xfId="2026" xr:uid="{7C82A867-AB1A-4002-8664-01916E49A8D7}"/>
    <cellStyle name="40% - Accent3 2 3 2 4 2" xfId="6157" xr:uid="{47591170-E55D-483A-B45A-E6536790E7E4}"/>
    <cellStyle name="40% - Accent3 2 3 2 5" xfId="2850" xr:uid="{4F5316C2-825F-47C6-BCCF-20E2CCE190FD}"/>
    <cellStyle name="40% - Accent3 2 3 2 5 2" xfId="6981" xr:uid="{F97175F4-F393-4172-88D9-495A47B312A1}"/>
    <cellStyle name="40% - Accent3 2 3 2 6" xfId="3674" xr:uid="{E724E8F7-E59A-4286-BBE6-AC58894E2F09}"/>
    <cellStyle name="40% - Accent3 2 3 2 6 2" xfId="7833" xr:uid="{81A64DD1-3979-43C9-B439-5A8BB56FF8F5}"/>
    <cellStyle name="40% - Accent3 2 3 2 7" xfId="4504" xr:uid="{6DEAE5DA-1ECF-4911-A19D-44C18828EEDB}"/>
    <cellStyle name="40% - Accent3 2 3 2 8" xfId="8680" xr:uid="{ECB3C309-5A81-4870-9177-165258815799}"/>
    <cellStyle name="40% - Accent3 2 3 3" xfId="581" xr:uid="{00000000-0005-0000-0000-000007020000}"/>
    <cellStyle name="40% - Accent3 2 3 3 2" xfId="1407" xr:uid="{3F7A127D-F3D0-4C4F-821C-5A01F0B16BA6}"/>
    <cellStyle name="40% - Accent3 2 3 3 2 2" xfId="5539" xr:uid="{2DD30A81-E017-48E1-A6E6-408CFE8DB3BC}"/>
    <cellStyle name="40% - Accent3 2 3 3 3" xfId="2235" xr:uid="{E4E6C2E5-F02A-4002-A513-FE0C4B703A3B}"/>
    <cellStyle name="40% - Accent3 2 3 3 3 2" xfId="6366" xr:uid="{3366B34A-E962-499C-84B9-D8D79A4B2195}"/>
    <cellStyle name="40% - Accent3 2 3 3 4" xfId="3059" xr:uid="{6211AC08-DC2D-48F5-AC71-2E4543E6F5F7}"/>
    <cellStyle name="40% - Accent3 2 3 3 4 2" xfId="7190" xr:uid="{16D44392-541C-4B73-9521-C9CA020E1ED0}"/>
    <cellStyle name="40% - Accent3 2 3 3 5" xfId="3883" xr:uid="{B637D371-135A-44B2-B922-BC2CB656137A}"/>
    <cellStyle name="40% - Accent3 2 3 3 5 2" xfId="8042" xr:uid="{E92296ED-F75F-4F4F-8D60-9CD77561913D}"/>
    <cellStyle name="40% - Accent3 2 3 3 6" xfId="4713" xr:uid="{B8010C27-B8D9-4C80-8E8D-B309A20E931D}"/>
    <cellStyle name="40% - Accent3 2 3 3 7" xfId="8889" xr:uid="{B5465CF4-5997-443D-A2CA-2A19ACF010FC}"/>
    <cellStyle name="40% - Accent3 2 3 4" xfId="989" xr:uid="{C7148743-FDE8-43D7-817F-5E00F4A7D771}"/>
    <cellStyle name="40% - Accent3 2 3 4 2" xfId="5121" xr:uid="{217783BF-9E5A-4CF3-9B72-2AEB79198136}"/>
    <cellStyle name="40% - Accent3 2 3 5" xfId="1817" xr:uid="{0C04AE6A-E50B-4F11-ADC3-9868B56251D1}"/>
    <cellStyle name="40% - Accent3 2 3 5 2" xfId="5948" xr:uid="{C0B9B70C-5B7B-4E9E-95DA-EFF34C4974B0}"/>
    <cellStyle name="40% - Accent3 2 3 6" xfId="2641" xr:uid="{B6088565-FEA1-49AC-88B9-AF8082688528}"/>
    <cellStyle name="40% - Accent3 2 3 6 2" xfId="6772" xr:uid="{66A76675-8E3D-4DB4-B018-49E99B0D7F03}"/>
    <cellStyle name="40% - Accent3 2 3 7" xfId="3465" xr:uid="{76E9B5EE-538B-4E3A-9DFB-7CF9B6220962}"/>
    <cellStyle name="40% - Accent3 2 3 7 2" xfId="7624" xr:uid="{63F32331-C033-47CB-AFA5-2BE05CCC906D}"/>
    <cellStyle name="40% - Accent3 2 3 8" xfId="4295" xr:uid="{B41AE595-DA38-413F-829F-022124E657DB}"/>
    <cellStyle name="40% - Accent3 2 3 9" xfId="8471" xr:uid="{1B4D720D-A310-49FA-BAB7-8FC60FB89521}"/>
    <cellStyle name="40% - Accent3 2 4" xfId="268" xr:uid="{00000000-0005-0000-0000-000008020000}"/>
    <cellStyle name="40% - Accent3 2 4 2" xfId="685" xr:uid="{00000000-0005-0000-0000-000009020000}"/>
    <cellStyle name="40% - Accent3 2 4 2 2" xfId="1511" xr:uid="{C3DB2660-CF01-4C6B-AE9B-7036169D7559}"/>
    <cellStyle name="40% - Accent3 2 4 2 2 2" xfId="5643" xr:uid="{D6F4D05E-6CD0-4C14-9DCF-61380349A745}"/>
    <cellStyle name="40% - Accent3 2 4 2 3" xfId="2339" xr:uid="{9CE60DE3-F1FF-4F90-88E6-F32BFB3A4B21}"/>
    <cellStyle name="40% - Accent3 2 4 2 3 2" xfId="6470" xr:uid="{00617F4C-A788-478A-B6CD-5BEE44D88B6B}"/>
    <cellStyle name="40% - Accent3 2 4 2 4" xfId="3163" xr:uid="{EF6206C9-6D27-414A-BA14-7C8B4F58D355}"/>
    <cellStyle name="40% - Accent3 2 4 2 4 2" xfId="7294" xr:uid="{CB72A742-79CE-4D89-B23F-170640458357}"/>
    <cellStyle name="40% - Accent3 2 4 2 5" xfId="3987" xr:uid="{3BB3495A-E7DC-4AE3-B3B9-032C23E49842}"/>
    <cellStyle name="40% - Accent3 2 4 2 5 2" xfId="8146" xr:uid="{50845615-E2F7-4B75-AA8D-095D1190D74A}"/>
    <cellStyle name="40% - Accent3 2 4 2 6" xfId="4817" xr:uid="{70E57D41-001E-4CA2-9B47-0CEF28905E8A}"/>
    <cellStyle name="40% - Accent3 2 4 2 7" xfId="8993" xr:uid="{98F37565-EE16-4675-A0EB-2D529B22668E}"/>
    <cellStyle name="40% - Accent3 2 4 3" xfId="1094" xr:uid="{451184E6-2552-4B02-8162-2CC12F961198}"/>
    <cellStyle name="40% - Accent3 2 4 3 2" xfId="5226" xr:uid="{768B299F-07B1-4B7D-B81B-238D27A06991}"/>
    <cellStyle name="40% - Accent3 2 4 4" xfId="1922" xr:uid="{2CE177D8-CE4D-4CAF-B456-741FF289F6FC}"/>
    <cellStyle name="40% - Accent3 2 4 4 2" xfId="6053" xr:uid="{FA0A9FE0-3B49-4E55-BE35-778EA19AD80B}"/>
    <cellStyle name="40% - Accent3 2 4 5" xfId="2746" xr:uid="{1D6FDE5B-A38B-46A7-A545-90DB50728D6A}"/>
    <cellStyle name="40% - Accent3 2 4 5 2" xfId="6877" xr:uid="{36ED16FC-4FCC-4316-A9E8-F4C18271C432}"/>
    <cellStyle name="40% - Accent3 2 4 6" xfId="3570" xr:uid="{EFAF201E-58BD-4410-A729-645324CDC68A}"/>
    <cellStyle name="40% - Accent3 2 4 6 2" xfId="7729" xr:uid="{310CD83A-543C-4D6C-85B6-68FF53096851}"/>
    <cellStyle name="40% - Accent3 2 4 7" xfId="4400" xr:uid="{A60A0E76-ABBA-426C-A55D-EA0294CA90D9}"/>
    <cellStyle name="40% - Accent3 2 4 8" xfId="8576" xr:uid="{9BCCAA0E-9FE2-4D2B-82C2-29B6DE1885E0}"/>
    <cellStyle name="40% - Accent3 2 5" xfId="477" xr:uid="{00000000-0005-0000-0000-00000A020000}"/>
    <cellStyle name="40% - Accent3 2 5 2" xfId="1303" xr:uid="{A9C1DC30-1E38-42ED-A79F-B81663AE6B2A}"/>
    <cellStyle name="40% - Accent3 2 5 2 2" xfId="5435" xr:uid="{24FB94E3-D093-4D51-A19E-A454DEFB770B}"/>
    <cellStyle name="40% - Accent3 2 5 3" xfId="2131" xr:uid="{E8D41756-B04E-448F-9309-CF25FBA0CC3B}"/>
    <cellStyle name="40% - Accent3 2 5 3 2" xfId="6262" xr:uid="{56BAC1DC-C0E7-4D9C-A960-9903926C993A}"/>
    <cellStyle name="40% - Accent3 2 5 4" xfId="2955" xr:uid="{E89C3EC0-7C32-4FA2-9047-32CC141E0C77}"/>
    <cellStyle name="40% - Accent3 2 5 4 2" xfId="7086" xr:uid="{FF5A7ECA-5DDD-4506-87CB-9B9161537A88}"/>
    <cellStyle name="40% - Accent3 2 5 5" xfId="3779" xr:uid="{8B4200AC-7800-443D-B856-6C4DDAC5035D}"/>
    <cellStyle name="40% - Accent3 2 5 5 2" xfId="7938" xr:uid="{098D4B73-2DD8-4427-A61B-EE43A6E244E0}"/>
    <cellStyle name="40% - Accent3 2 5 6" xfId="4609" xr:uid="{FE783B74-E90B-4483-A25D-728D888D3CB4}"/>
    <cellStyle name="40% - Accent3 2 5 7" xfId="8785" xr:uid="{62176ADC-2A1C-40E4-AE66-0226D7CDB450}"/>
    <cellStyle name="40% - Accent3 2 6" xfId="883" xr:uid="{73F25F7C-BB74-49C7-A4A3-8EFAA63D8F93}"/>
    <cellStyle name="40% - Accent3 2 6 2" xfId="5015" xr:uid="{E5651EED-DC99-4854-8223-5244A52CB36F}"/>
    <cellStyle name="40% - Accent3 2 7" xfId="1711" xr:uid="{F5A4E0B7-9D8C-4634-AA80-6714F4964F61}"/>
    <cellStyle name="40% - Accent3 2 7 2" xfId="5842" xr:uid="{0901F989-7BC5-42CB-81B6-DF24AABE0085}"/>
    <cellStyle name="40% - Accent3 2 8" xfId="2535" xr:uid="{E7F2B853-DB55-4489-9D72-C62D32A73AA8}"/>
    <cellStyle name="40% - Accent3 2 8 2" xfId="6666" xr:uid="{7E93DBCD-EBE6-426E-BF4F-64E849CFB57B}"/>
    <cellStyle name="40% - Accent3 2 9" xfId="3359" xr:uid="{04A0A5DB-98AD-47ED-BE3A-031D33DAD6A7}"/>
    <cellStyle name="40% - Accent3 2 9 2" xfId="7518" xr:uid="{A280CF21-3916-43F1-A227-DCEA71010BD6}"/>
    <cellStyle name="40% - Accent3 3" xfId="70" xr:uid="{00000000-0005-0000-0000-00000B020000}"/>
    <cellStyle name="40% - Accent3 3 10" xfId="4202" xr:uid="{F6F641E0-68D0-49BA-8C03-4BEEF29C9CEC}"/>
    <cellStyle name="40% - Accent3 3 11" xfId="8378" xr:uid="{09E76E92-BE1B-4F75-8362-BBD3D4032255}"/>
    <cellStyle name="40% - Accent3 3 2" xfId="123" xr:uid="{00000000-0005-0000-0000-00000C020000}"/>
    <cellStyle name="40% - Accent3 3 2 10" xfId="8431" xr:uid="{B1A672D5-FEEC-4473-8B74-5248A374DE18}"/>
    <cellStyle name="40% - Accent3 3 2 2" xfId="228" xr:uid="{00000000-0005-0000-0000-00000D020000}"/>
    <cellStyle name="40% - Accent3 3 2 2 2" xfId="437" xr:uid="{00000000-0005-0000-0000-00000E020000}"/>
    <cellStyle name="40% - Accent3 3 2 2 2 2" xfId="854" xr:uid="{00000000-0005-0000-0000-00000F020000}"/>
    <cellStyle name="40% - Accent3 3 2 2 2 2 2" xfId="1680" xr:uid="{DA2C206B-6B6B-4DD4-AEA4-7F7436291CD2}"/>
    <cellStyle name="40% - Accent3 3 2 2 2 2 2 2" xfId="5812" xr:uid="{26E12647-0D29-4C1F-BBE2-D2EE23CE6123}"/>
    <cellStyle name="40% - Accent3 3 2 2 2 2 3" xfId="2508" xr:uid="{018AB9B9-F9AF-49E6-8280-5B369CCC012D}"/>
    <cellStyle name="40% - Accent3 3 2 2 2 2 3 2" xfId="6639" xr:uid="{2A98E6D6-ADA7-4D57-A9AC-1094B144B737}"/>
    <cellStyle name="40% - Accent3 3 2 2 2 2 4" xfId="3332" xr:uid="{5BF4887F-771C-4554-B11D-9921ED98ADFA}"/>
    <cellStyle name="40% - Accent3 3 2 2 2 2 4 2" xfId="7463" xr:uid="{CDE02786-DFC1-40BF-B392-F80F80F5B81C}"/>
    <cellStyle name="40% - Accent3 3 2 2 2 2 5" xfId="4156" xr:uid="{FE7210F4-2C48-466D-8E76-507E120E6C9B}"/>
    <cellStyle name="40% - Accent3 3 2 2 2 2 5 2" xfId="8315" xr:uid="{5E39D4C8-9E0C-46D9-938B-2917D777D920}"/>
    <cellStyle name="40% - Accent3 3 2 2 2 2 6" xfId="4986" xr:uid="{2B8D2194-A429-489F-A4A0-5D317E94F786}"/>
    <cellStyle name="40% - Accent3 3 2 2 2 2 7" xfId="9162" xr:uid="{368A77F2-7E56-4A98-8C70-1D62285662EA}"/>
    <cellStyle name="40% - Accent3 3 2 2 2 3" xfId="1263" xr:uid="{7EE6AA54-CDA6-4FE6-8537-D7EA6018923E}"/>
    <cellStyle name="40% - Accent3 3 2 2 2 3 2" xfId="5395" xr:uid="{834C314B-DF3B-41E4-888A-6B88FE0B0FE7}"/>
    <cellStyle name="40% - Accent3 3 2 2 2 4" xfId="2091" xr:uid="{10E8F75D-161D-4EC6-95D7-71E79DED8CC2}"/>
    <cellStyle name="40% - Accent3 3 2 2 2 4 2" xfId="6222" xr:uid="{A7E72E9C-E820-445F-888D-31106F6BAC78}"/>
    <cellStyle name="40% - Accent3 3 2 2 2 5" xfId="2915" xr:uid="{1D6C5AA6-1594-4756-8B9A-116A8E36C9F1}"/>
    <cellStyle name="40% - Accent3 3 2 2 2 5 2" xfId="7046" xr:uid="{C0032D9B-8312-4D06-A9A4-61522BF06144}"/>
    <cellStyle name="40% - Accent3 3 2 2 2 6" xfId="3739" xr:uid="{73954291-04D8-4E0C-BF4E-14DAAF3D9C3B}"/>
    <cellStyle name="40% - Accent3 3 2 2 2 6 2" xfId="7898" xr:uid="{D69E6268-AE5E-42E1-9658-F1E6986F0DFE}"/>
    <cellStyle name="40% - Accent3 3 2 2 2 7" xfId="4569" xr:uid="{616B449C-4938-41FC-883A-11305F5FB067}"/>
    <cellStyle name="40% - Accent3 3 2 2 2 8" xfId="8745" xr:uid="{4B56FE77-FF86-4820-89FE-DDF3A7BDD888}"/>
    <cellStyle name="40% - Accent3 3 2 2 3" xfId="646" xr:uid="{00000000-0005-0000-0000-000010020000}"/>
    <cellStyle name="40% - Accent3 3 2 2 3 2" xfId="1472" xr:uid="{5DDFC671-25CB-4262-8B51-EDF0799BD7A2}"/>
    <cellStyle name="40% - Accent3 3 2 2 3 2 2" xfId="5604" xr:uid="{9139C131-5EDA-41FA-8515-498170B952A8}"/>
    <cellStyle name="40% - Accent3 3 2 2 3 3" xfId="2300" xr:uid="{DFAF6AB6-1381-404C-9BA7-24BB2CDF7A42}"/>
    <cellStyle name="40% - Accent3 3 2 2 3 3 2" xfId="6431" xr:uid="{6B594813-E802-4E80-B672-4CDA1FE92695}"/>
    <cellStyle name="40% - Accent3 3 2 2 3 4" xfId="3124" xr:uid="{7EFA962C-3AC9-4610-9AD7-FDFF5FB2E84C}"/>
    <cellStyle name="40% - Accent3 3 2 2 3 4 2" xfId="7255" xr:uid="{7C968C26-3109-45FE-8B94-09B7F96E5835}"/>
    <cellStyle name="40% - Accent3 3 2 2 3 5" xfId="3948" xr:uid="{E8E36641-4472-4A73-8850-B39DF65E7420}"/>
    <cellStyle name="40% - Accent3 3 2 2 3 5 2" xfId="8107" xr:uid="{042CA6E9-4411-4BE5-98DF-901C3F9EFFB6}"/>
    <cellStyle name="40% - Accent3 3 2 2 3 6" xfId="4778" xr:uid="{B55C0025-13A6-4E28-B1B9-E78730598E77}"/>
    <cellStyle name="40% - Accent3 3 2 2 3 7" xfId="8954" xr:uid="{6D4462F5-3975-4263-AE0C-21E44305D421}"/>
    <cellStyle name="40% - Accent3 3 2 2 4" xfId="1054" xr:uid="{01D6F0F2-9E49-412A-A323-79F7B4360442}"/>
    <cellStyle name="40% - Accent3 3 2 2 4 2" xfId="5186" xr:uid="{51E88A0A-ED6F-42D9-A833-E82D6456FEA9}"/>
    <cellStyle name="40% - Accent3 3 2 2 5" xfId="1882" xr:uid="{67C11393-1B9F-4833-B6A0-13E6F6E96304}"/>
    <cellStyle name="40% - Accent3 3 2 2 5 2" xfId="6013" xr:uid="{0BEFC2C0-2E10-423A-81C0-6EEA0FE51DD0}"/>
    <cellStyle name="40% - Accent3 3 2 2 6" xfId="2706" xr:uid="{552BAA35-9E54-4D81-9EA2-78112F6C2D56}"/>
    <cellStyle name="40% - Accent3 3 2 2 6 2" xfId="6837" xr:uid="{A20E79EF-2C16-4186-A89A-E4BB06923194}"/>
    <cellStyle name="40% - Accent3 3 2 2 7" xfId="3530" xr:uid="{874F3DD2-4C01-472C-9F2A-FD8029C4AE12}"/>
    <cellStyle name="40% - Accent3 3 2 2 7 2" xfId="7689" xr:uid="{EB845041-7231-4902-87EC-31708883B509}"/>
    <cellStyle name="40% - Accent3 3 2 2 8" xfId="4360" xr:uid="{028D8B81-D6BA-459B-BE5C-7EBFA0DF2AAF}"/>
    <cellStyle name="40% - Accent3 3 2 2 9" xfId="8536" xr:uid="{6A579EE7-F75D-4B60-AF6E-7F76C1C843C5}"/>
    <cellStyle name="40% - Accent3 3 2 3" xfId="333" xr:uid="{00000000-0005-0000-0000-000011020000}"/>
    <cellStyle name="40% - Accent3 3 2 3 2" xfId="750" xr:uid="{00000000-0005-0000-0000-000012020000}"/>
    <cellStyle name="40% - Accent3 3 2 3 2 2" xfId="1576" xr:uid="{33F78C0F-94DF-4D81-B88C-8EE0BB806C32}"/>
    <cellStyle name="40% - Accent3 3 2 3 2 2 2" xfId="5708" xr:uid="{48BCC762-2BF0-4E96-B603-0BE4D48A6565}"/>
    <cellStyle name="40% - Accent3 3 2 3 2 3" xfId="2404" xr:uid="{B7A3C3F4-4690-4DAA-A63A-567780DA7530}"/>
    <cellStyle name="40% - Accent3 3 2 3 2 3 2" xfId="6535" xr:uid="{FBE303D9-7B53-423E-9C3C-2008411977BD}"/>
    <cellStyle name="40% - Accent3 3 2 3 2 4" xfId="3228" xr:uid="{CBDA1C03-4999-453D-9243-AE4FCB273661}"/>
    <cellStyle name="40% - Accent3 3 2 3 2 4 2" xfId="7359" xr:uid="{100266BA-EFA6-4F5D-8208-27597D820A6F}"/>
    <cellStyle name="40% - Accent3 3 2 3 2 5" xfId="4052" xr:uid="{077A9E30-1DE2-41D0-9A50-51A1A49DECC2}"/>
    <cellStyle name="40% - Accent3 3 2 3 2 5 2" xfId="8211" xr:uid="{542F3EFC-C1AC-4647-9F09-B0E1533CE9A8}"/>
    <cellStyle name="40% - Accent3 3 2 3 2 6" xfId="4882" xr:uid="{DF866009-0007-4407-9441-705EF70C474C}"/>
    <cellStyle name="40% - Accent3 3 2 3 2 7" xfId="9058" xr:uid="{BA70CC8F-903B-4407-803D-2F63369205A9}"/>
    <cellStyle name="40% - Accent3 3 2 3 3" xfId="1159" xr:uid="{8C166997-8AD4-40DF-AD68-941841C88A16}"/>
    <cellStyle name="40% - Accent3 3 2 3 3 2" xfId="5291" xr:uid="{952B2766-796D-4883-BE78-F333A9BB953F}"/>
    <cellStyle name="40% - Accent3 3 2 3 4" xfId="1987" xr:uid="{C6AE3D23-57CA-4EF9-86F4-BD5FBA33F551}"/>
    <cellStyle name="40% - Accent3 3 2 3 4 2" xfId="6118" xr:uid="{10BFFC44-F950-4C2B-8DF5-2859698C38A1}"/>
    <cellStyle name="40% - Accent3 3 2 3 5" xfId="2811" xr:uid="{5E85AFD4-B605-487A-AE97-C9EAC404241B}"/>
    <cellStyle name="40% - Accent3 3 2 3 5 2" xfId="6942" xr:uid="{BEF61F3A-A80E-47D3-9114-2C87220204AD}"/>
    <cellStyle name="40% - Accent3 3 2 3 6" xfId="3635" xr:uid="{3E5056C8-C26D-4299-8209-4F4B2820AC5B}"/>
    <cellStyle name="40% - Accent3 3 2 3 6 2" xfId="7794" xr:uid="{B3B38987-1E23-483C-BC22-326D8FD84B2A}"/>
    <cellStyle name="40% - Accent3 3 2 3 7" xfId="4465" xr:uid="{5D4BD448-ECB9-41A2-BAC4-6326FAF34CA4}"/>
    <cellStyle name="40% - Accent3 3 2 3 8" xfId="8641" xr:uid="{6B6DF12F-AB53-4F4E-87EC-1521FCBEA35B}"/>
    <cellStyle name="40% - Accent3 3 2 4" xfId="542" xr:uid="{00000000-0005-0000-0000-000013020000}"/>
    <cellStyle name="40% - Accent3 3 2 4 2" xfId="1368" xr:uid="{0F5F4A97-1CA4-41C8-ABAA-F8DDD17868CD}"/>
    <cellStyle name="40% - Accent3 3 2 4 2 2" xfId="5500" xr:uid="{9E8D7405-C944-4B61-9B7B-B867FC49EEAA}"/>
    <cellStyle name="40% - Accent3 3 2 4 3" xfId="2196" xr:uid="{FE0A0818-7B1B-4A35-BDF2-3FF11FF9849C}"/>
    <cellStyle name="40% - Accent3 3 2 4 3 2" xfId="6327" xr:uid="{D92AF6FE-29E7-4579-88F7-9D2C03B33B86}"/>
    <cellStyle name="40% - Accent3 3 2 4 4" xfId="3020" xr:uid="{1F623EFD-247B-4CD7-BE20-276C4961AC69}"/>
    <cellStyle name="40% - Accent3 3 2 4 4 2" xfId="7151" xr:uid="{38CC11A4-6DCF-4758-9EEA-D950A9AEACC1}"/>
    <cellStyle name="40% - Accent3 3 2 4 5" xfId="3844" xr:uid="{914C06ED-DF1D-4DF1-939D-B92011240431}"/>
    <cellStyle name="40% - Accent3 3 2 4 5 2" xfId="8003" xr:uid="{B0361098-8937-4D16-B1E1-2B8E9A222E5E}"/>
    <cellStyle name="40% - Accent3 3 2 4 6" xfId="4674" xr:uid="{EA978E11-C414-4B6A-A626-9403BD46D17D}"/>
    <cellStyle name="40% - Accent3 3 2 4 7" xfId="8850" xr:uid="{AF45B969-4AFD-4EB5-9460-5275F18BC5AC}"/>
    <cellStyle name="40% - Accent3 3 2 5" xfId="949" xr:uid="{59F9D1AA-620E-428C-B87B-BDB5CB3058D2}"/>
    <cellStyle name="40% - Accent3 3 2 5 2" xfId="5081" xr:uid="{E0BF7A8F-D636-4470-BC42-8FF6B9D162F2}"/>
    <cellStyle name="40% - Accent3 3 2 6" xfId="1777" xr:uid="{BD87C477-5B53-40FA-8886-70675C11189C}"/>
    <cellStyle name="40% - Accent3 3 2 6 2" xfId="5908" xr:uid="{C7CB4F45-64EA-4153-92FA-930E927380C3}"/>
    <cellStyle name="40% - Accent3 3 2 7" xfId="2601" xr:uid="{5CA079F2-E79B-4350-8E6E-60BB7E629D8D}"/>
    <cellStyle name="40% - Accent3 3 2 7 2" xfId="6732" xr:uid="{2F690984-901C-44F9-B7A2-A42D4CB9A193}"/>
    <cellStyle name="40% - Accent3 3 2 8" xfId="3425" xr:uid="{DD3E73D2-1609-4F26-8EA2-F475D43E1EEC}"/>
    <cellStyle name="40% - Accent3 3 2 8 2" xfId="7584" xr:uid="{C101E3E5-B584-43F7-B0F4-E5C41CEABEDB}"/>
    <cellStyle name="40% - Accent3 3 2 9" xfId="4255" xr:uid="{B7B4717E-6A51-49DE-A145-28C3EE62CE02}"/>
    <cellStyle name="40% - Accent3 3 3" xfId="176" xr:uid="{00000000-0005-0000-0000-000014020000}"/>
    <cellStyle name="40% - Accent3 3 3 2" xfId="385" xr:uid="{00000000-0005-0000-0000-000015020000}"/>
    <cellStyle name="40% - Accent3 3 3 2 2" xfId="802" xr:uid="{00000000-0005-0000-0000-000016020000}"/>
    <cellStyle name="40% - Accent3 3 3 2 2 2" xfId="1628" xr:uid="{ED2CB62E-88AD-4083-A964-2F36FA5717DD}"/>
    <cellStyle name="40% - Accent3 3 3 2 2 2 2" xfId="5760" xr:uid="{4EA004F2-F7C1-4F2A-9D14-C755C1614323}"/>
    <cellStyle name="40% - Accent3 3 3 2 2 3" xfId="2456" xr:uid="{C91D1AA3-A87B-4C11-8FC2-727801EB4568}"/>
    <cellStyle name="40% - Accent3 3 3 2 2 3 2" xfId="6587" xr:uid="{52BAC1C5-36F9-492E-B103-6C8E7CD7B037}"/>
    <cellStyle name="40% - Accent3 3 3 2 2 4" xfId="3280" xr:uid="{C7716CCF-8570-4F79-BF08-1B226043C718}"/>
    <cellStyle name="40% - Accent3 3 3 2 2 4 2" xfId="7411" xr:uid="{37B0DC12-CF0A-4C53-BC7C-8AAA760B5E92}"/>
    <cellStyle name="40% - Accent3 3 3 2 2 5" xfId="4104" xr:uid="{52952E1D-6C70-4F7C-B3AF-BA3E058E76DD}"/>
    <cellStyle name="40% - Accent3 3 3 2 2 5 2" xfId="8263" xr:uid="{F29E9182-61A2-4DC7-BE92-BB3295246C51}"/>
    <cellStyle name="40% - Accent3 3 3 2 2 6" xfId="4934" xr:uid="{B25ABAC0-C63C-43D7-9306-2D1FE13F15EE}"/>
    <cellStyle name="40% - Accent3 3 3 2 2 7" xfId="9110" xr:uid="{69D1A7E1-F26E-428B-A19D-2D3924903543}"/>
    <cellStyle name="40% - Accent3 3 3 2 3" xfId="1211" xr:uid="{590C3501-2DD4-4B7B-8A56-C91867939FA5}"/>
    <cellStyle name="40% - Accent3 3 3 2 3 2" xfId="5343" xr:uid="{98B87A0C-C2AE-45CD-BF03-10F725966BB4}"/>
    <cellStyle name="40% - Accent3 3 3 2 4" xfId="2039" xr:uid="{ED7F8B78-8348-49C4-A02F-7A552D0952DE}"/>
    <cellStyle name="40% - Accent3 3 3 2 4 2" xfId="6170" xr:uid="{CF0F7F89-FF9D-449B-ADCE-09E47F635DEC}"/>
    <cellStyle name="40% - Accent3 3 3 2 5" xfId="2863" xr:uid="{4B7BDD2F-025D-4295-9143-95E08835808C}"/>
    <cellStyle name="40% - Accent3 3 3 2 5 2" xfId="6994" xr:uid="{764AE186-9F77-4470-A5CD-F83F6BA53B1D}"/>
    <cellStyle name="40% - Accent3 3 3 2 6" xfId="3687" xr:uid="{0D1502EC-9446-4DDE-80E8-ECAC45A0DDD2}"/>
    <cellStyle name="40% - Accent3 3 3 2 6 2" xfId="7846" xr:uid="{198967EB-425A-419D-BA71-AF5C0603AC4F}"/>
    <cellStyle name="40% - Accent3 3 3 2 7" xfId="4517" xr:uid="{9EC76F20-503A-4D32-A0C0-41133B622D41}"/>
    <cellStyle name="40% - Accent3 3 3 2 8" xfId="8693" xr:uid="{FC92DB67-7A76-4BAE-86DA-6E79742CE290}"/>
    <cellStyle name="40% - Accent3 3 3 3" xfId="594" xr:uid="{00000000-0005-0000-0000-000017020000}"/>
    <cellStyle name="40% - Accent3 3 3 3 2" xfId="1420" xr:uid="{64116FA7-C9FA-4669-BFE3-BFCFA79B6FD2}"/>
    <cellStyle name="40% - Accent3 3 3 3 2 2" xfId="5552" xr:uid="{0F6C1FD8-56AC-4728-98B3-25F9B28DD05C}"/>
    <cellStyle name="40% - Accent3 3 3 3 3" xfId="2248" xr:uid="{8B172F5D-96B7-4EF7-AEC7-1CFBF8DC70FE}"/>
    <cellStyle name="40% - Accent3 3 3 3 3 2" xfId="6379" xr:uid="{9356CFBB-02B4-4E68-9F4A-C6A841B39342}"/>
    <cellStyle name="40% - Accent3 3 3 3 4" xfId="3072" xr:uid="{2C2066E2-0757-4F7A-A200-D233728E590B}"/>
    <cellStyle name="40% - Accent3 3 3 3 4 2" xfId="7203" xr:uid="{EC3B1941-73DD-4891-AC18-4B9B8C9D1E61}"/>
    <cellStyle name="40% - Accent3 3 3 3 5" xfId="3896" xr:uid="{8FF2237A-FD04-4FB9-AFF1-56A8E69ED66F}"/>
    <cellStyle name="40% - Accent3 3 3 3 5 2" xfId="8055" xr:uid="{BF122D19-DA8E-4F05-8579-CDF1175D6476}"/>
    <cellStyle name="40% - Accent3 3 3 3 6" xfId="4726" xr:uid="{7A3C12BB-2BB0-42AF-9EEB-CD0B4012C5F8}"/>
    <cellStyle name="40% - Accent3 3 3 3 7" xfId="8902" xr:uid="{0A1020BE-82BF-4CF7-A4A3-919B9894A6A5}"/>
    <cellStyle name="40% - Accent3 3 3 4" xfId="1002" xr:uid="{8CC3BE89-AE82-4D1C-9888-DA08415BF24A}"/>
    <cellStyle name="40% - Accent3 3 3 4 2" xfId="5134" xr:uid="{00DE84BD-AA5F-46FF-94B9-5CAE84269F45}"/>
    <cellStyle name="40% - Accent3 3 3 5" xfId="1830" xr:uid="{7A5CCCD4-746C-46C8-93B9-04081BC62636}"/>
    <cellStyle name="40% - Accent3 3 3 5 2" xfId="5961" xr:uid="{49AEEDC5-BC8A-4065-A987-2160E2DA1A45}"/>
    <cellStyle name="40% - Accent3 3 3 6" xfId="2654" xr:uid="{6A321187-8B83-4A62-B868-976DA1C9B8A2}"/>
    <cellStyle name="40% - Accent3 3 3 6 2" xfId="6785" xr:uid="{96096973-84BB-4A72-8536-252B5286912D}"/>
    <cellStyle name="40% - Accent3 3 3 7" xfId="3478" xr:uid="{9AC55D74-95C9-48BE-83BB-D042EC43AF52}"/>
    <cellStyle name="40% - Accent3 3 3 7 2" xfId="7637" xr:uid="{FAF875A6-F910-4E41-81E6-934AAF4104F4}"/>
    <cellStyle name="40% - Accent3 3 3 8" xfId="4308" xr:uid="{408D769E-C215-4ADF-B42C-06E73671E214}"/>
    <cellStyle name="40% - Accent3 3 3 9" xfId="8484" xr:uid="{2187223D-9DB5-4DE7-81A0-AC3FEFC23E86}"/>
    <cellStyle name="40% - Accent3 3 4" xfId="281" xr:uid="{00000000-0005-0000-0000-000018020000}"/>
    <cellStyle name="40% - Accent3 3 4 2" xfId="698" xr:uid="{00000000-0005-0000-0000-000019020000}"/>
    <cellStyle name="40% - Accent3 3 4 2 2" xfId="1524" xr:uid="{0A0569BA-E18B-4127-9C5A-217EB5EAB75E}"/>
    <cellStyle name="40% - Accent3 3 4 2 2 2" xfId="5656" xr:uid="{2F67265B-16A5-42DB-8CC6-C9E9525B1E52}"/>
    <cellStyle name="40% - Accent3 3 4 2 3" xfId="2352" xr:uid="{CB2BA310-D7BC-4F33-BFCA-D3B71129D678}"/>
    <cellStyle name="40% - Accent3 3 4 2 3 2" xfId="6483" xr:uid="{6D40F80D-5D37-4CBA-847B-115829EAADBE}"/>
    <cellStyle name="40% - Accent3 3 4 2 4" xfId="3176" xr:uid="{BD05080F-9FC3-48AA-97D7-870ED85A8694}"/>
    <cellStyle name="40% - Accent3 3 4 2 4 2" xfId="7307" xr:uid="{D415F62C-F27A-4966-96B6-5E3DC66657B6}"/>
    <cellStyle name="40% - Accent3 3 4 2 5" xfId="4000" xr:uid="{CFD7DB2C-F952-4C4E-89EA-1C29F7558D5D}"/>
    <cellStyle name="40% - Accent3 3 4 2 5 2" xfId="8159" xr:uid="{B5F10781-0726-4309-9E5F-D3333E8018D8}"/>
    <cellStyle name="40% - Accent3 3 4 2 6" xfId="4830" xr:uid="{BE5B62C1-ACB9-4E1F-8D18-91BDDD5C0E54}"/>
    <cellStyle name="40% - Accent3 3 4 2 7" xfId="9006" xr:uid="{2547E7BA-CF18-4A01-A204-443F3C90ED22}"/>
    <cellStyle name="40% - Accent3 3 4 3" xfId="1107" xr:uid="{7044AB31-5B08-4363-8225-5077CD241288}"/>
    <cellStyle name="40% - Accent3 3 4 3 2" xfId="5239" xr:uid="{5A0E9E72-5C63-41B3-B7DA-CF94F4FEA5C4}"/>
    <cellStyle name="40% - Accent3 3 4 4" xfId="1935" xr:uid="{10E219AE-15E7-4D69-8290-7C27016D7021}"/>
    <cellStyle name="40% - Accent3 3 4 4 2" xfId="6066" xr:uid="{F90D15D1-8C7D-4A2A-9908-7D6AD2C4397A}"/>
    <cellStyle name="40% - Accent3 3 4 5" xfId="2759" xr:uid="{F0C1C118-33EC-49CA-A5FD-B6F2A7428869}"/>
    <cellStyle name="40% - Accent3 3 4 5 2" xfId="6890" xr:uid="{E8F6CC35-1B19-4962-9978-EE667F0DB1C7}"/>
    <cellStyle name="40% - Accent3 3 4 6" xfId="3583" xr:uid="{69548636-F0DA-4AF3-8685-9DA08277EC39}"/>
    <cellStyle name="40% - Accent3 3 4 6 2" xfId="7742" xr:uid="{923B5B11-C256-4E1F-BA02-FE007D9934E3}"/>
    <cellStyle name="40% - Accent3 3 4 7" xfId="4413" xr:uid="{AF9A2C01-3062-4358-BC8B-BBB59FDAB489}"/>
    <cellStyle name="40% - Accent3 3 4 8" xfId="8589" xr:uid="{85FD5EEF-B4BF-4097-A075-3AEF8525A677}"/>
    <cellStyle name="40% - Accent3 3 5" xfId="490" xr:uid="{00000000-0005-0000-0000-00001A020000}"/>
    <cellStyle name="40% - Accent3 3 5 2" xfId="1316" xr:uid="{CE63C7EF-27B4-44AE-AFDF-F51B2E15E99C}"/>
    <cellStyle name="40% - Accent3 3 5 2 2" xfId="5448" xr:uid="{4BD84C4E-4A3B-4B99-8FE0-AAC954C1B7FA}"/>
    <cellStyle name="40% - Accent3 3 5 3" xfId="2144" xr:uid="{3EA9533B-1A15-48E0-8E3F-B5957472549A}"/>
    <cellStyle name="40% - Accent3 3 5 3 2" xfId="6275" xr:uid="{E2167809-7131-463C-B82B-E7F0C8B43BD3}"/>
    <cellStyle name="40% - Accent3 3 5 4" xfId="2968" xr:uid="{E30B90B3-A6C6-4A17-BA91-D337C6EF4DCA}"/>
    <cellStyle name="40% - Accent3 3 5 4 2" xfId="7099" xr:uid="{96104573-9C29-44B6-8D39-AC009D66F7A6}"/>
    <cellStyle name="40% - Accent3 3 5 5" xfId="3792" xr:uid="{30C83ACB-F3DD-47D2-80C4-318E1DFE4CCA}"/>
    <cellStyle name="40% - Accent3 3 5 5 2" xfId="7951" xr:uid="{C1486A68-C646-4FCD-9C0A-6DD9C2872302}"/>
    <cellStyle name="40% - Accent3 3 5 6" xfId="4622" xr:uid="{7551812A-AABA-4671-A9D5-437993677029}"/>
    <cellStyle name="40% - Accent3 3 5 7" xfId="8798" xr:uid="{E515EFD9-E106-4459-A2BD-37FAF37C600B}"/>
    <cellStyle name="40% - Accent3 3 6" xfId="896" xr:uid="{A992F03E-E72F-45CD-9A40-19085501DEEE}"/>
    <cellStyle name="40% - Accent3 3 6 2" xfId="5028" xr:uid="{6FCF18D0-E4CD-4076-9856-261F78418F2F}"/>
    <cellStyle name="40% - Accent3 3 7" xfId="1724" xr:uid="{8E8C0744-EA16-414F-97D6-549E3C9DB8DA}"/>
    <cellStyle name="40% - Accent3 3 7 2" xfId="5855" xr:uid="{D69EDB13-B725-4A38-B4AF-BB1525FA34AF}"/>
    <cellStyle name="40% - Accent3 3 8" xfId="2548" xr:uid="{AAAE297F-4484-4C5A-AFD2-20F97FF8CB41}"/>
    <cellStyle name="40% - Accent3 3 8 2" xfId="6679" xr:uid="{92D36FF0-27CC-4D8E-AEFE-47E280E1CA6A}"/>
    <cellStyle name="40% - Accent3 3 9" xfId="3372" xr:uid="{48FBEA4B-B206-4B3D-ACFE-9D97D7DF22EF}"/>
    <cellStyle name="40% - Accent3 3 9 2" xfId="7531" xr:uid="{84798380-41FC-4C13-BF2F-52CCB1A04BD9}"/>
    <cellStyle name="40% - Accent3 4" xfId="83" xr:uid="{00000000-0005-0000-0000-00001B020000}"/>
    <cellStyle name="40% - Accent3 4 10" xfId="8391" xr:uid="{D2682AE6-B333-4603-9670-232669653BCF}"/>
    <cellStyle name="40% - Accent3 4 2" xfId="189" xr:uid="{00000000-0005-0000-0000-00001C020000}"/>
    <cellStyle name="40% - Accent3 4 2 2" xfId="398" xr:uid="{00000000-0005-0000-0000-00001D020000}"/>
    <cellStyle name="40% - Accent3 4 2 2 2" xfId="815" xr:uid="{00000000-0005-0000-0000-00001E020000}"/>
    <cellStyle name="40% - Accent3 4 2 2 2 2" xfId="1641" xr:uid="{53FA9D11-C550-4B2F-8108-1A1BDA4AE7BE}"/>
    <cellStyle name="40% - Accent3 4 2 2 2 2 2" xfId="5773" xr:uid="{892A65BD-145D-43F7-85B8-5E2B1764F732}"/>
    <cellStyle name="40% - Accent3 4 2 2 2 3" xfId="2469" xr:uid="{A46960BA-5A04-4075-8DD9-DC4E422C0E56}"/>
    <cellStyle name="40% - Accent3 4 2 2 2 3 2" xfId="6600" xr:uid="{2327E1E6-74DB-487B-87ED-2982C493B50A}"/>
    <cellStyle name="40% - Accent3 4 2 2 2 4" xfId="3293" xr:uid="{5296F623-875F-47F7-B272-24CBC94E1D52}"/>
    <cellStyle name="40% - Accent3 4 2 2 2 4 2" xfId="7424" xr:uid="{2A97141F-D5F8-4464-88C0-7BC8D1C48FEB}"/>
    <cellStyle name="40% - Accent3 4 2 2 2 5" xfId="4117" xr:uid="{1F589EDA-6D88-4C26-96A1-DE6AF9EFA528}"/>
    <cellStyle name="40% - Accent3 4 2 2 2 5 2" xfId="8276" xr:uid="{4C3D86E1-3DE3-461C-92D9-B21A6AEDC0AF}"/>
    <cellStyle name="40% - Accent3 4 2 2 2 6" xfId="4947" xr:uid="{B4479E87-9F77-4934-923E-0EAC00B0B763}"/>
    <cellStyle name="40% - Accent3 4 2 2 2 7" xfId="9123" xr:uid="{6C5675C9-92EB-4EDF-A798-3F2BBE119CF0}"/>
    <cellStyle name="40% - Accent3 4 2 2 3" xfId="1224" xr:uid="{CDDE4DBF-F68C-41C6-AEF5-60959DA013C3}"/>
    <cellStyle name="40% - Accent3 4 2 2 3 2" xfId="5356" xr:uid="{A853C4A4-6168-4229-99A0-E974477B43F5}"/>
    <cellStyle name="40% - Accent3 4 2 2 4" xfId="2052" xr:uid="{A7490E75-41F3-440C-BECF-A23F007B71A6}"/>
    <cellStyle name="40% - Accent3 4 2 2 4 2" xfId="6183" xr:uid="{5F812179-09D8-46BB-A10B-49ED7E23247C}"/>
    <cellStyle name="40% - Accent3 4 2 2 5" xfId="2876" xr:uid="{7178B39C-80E3-4624-9293-70078BC20A3B}"/>
    <cellStyle name="40% - Accent3 4 2 2 5 2" xfId="7007" xr:uid="{30ADC9F3-BDCC-4C9C-BBBE-420165DF0CB7}"/>
    <cellStyle name="40% - Accent3 4 2 2 6" xfId="3700" xr:uid="{36C0B290-A4D3-49FB-9C73-EFC27C84EE7C}"/>
    <cellStyle name="40% - Accent3 4 2 2 6 2" xfId="7859" xr:uid="{AD3961C7-3295-400A-8582-25677FE0CEA0}"/>
    <cellStyle name="40% - Accent3 4 2 2 7" xfId="4530" xr:uid="{ED824E32-0F6A-42F6-B356-185EFE5CD9EF}"/>
    <cellStyle name="40% - Accent3 4 2 2 8" xfId="8706" xr:uid="{E6C58F39-14A4-4511-B38F-DA0BC312A816}"/>
    <cellStyle name="40% - Accent3 4 2 3" xfId="607" xr:uid="{00000000-0005-0000-0000-00001F020000}"/>
    <cellStyle name="40% - Accent3 4 2 3 2" xfId="1433" xr:uid="{3C89E324-D5D6-4F5D-BE0A-C07D7F5F9A57}"/>
    <cellStyle name="40% - Accent3 4 2 3 2 2" xfId="5565" xr:uid="{B309A053-E01C-4C57-ABA6-4AFBDDD546C9}"/>
    <cellStyle name="40% - Accent3 4 2 3 3" xfId="2261" xr:uid="{EB745824-B24D-4A23-A038-0524D3D81765}"/>
    <cellStyle name="40% - Accent3 4 2 3 3 2" xfId="6392" xr:uid="{3F93F004-787E-4C30-BD73-E1AB4A35971F}"/>
    <cellStyle name="40% - Accent3 4 2 3 4" xfId="3085" xr:uid="{8F2D2D02-32E1-420E-83CC-2A47CE961485}"/>
    <cellStyle name="40% - Accent3 4 2 3 4 2" xfId="7216" xr:uid="{84089E64-7057-4045-A6AE-4E4C8FA3489D}"/>
    <cellStyle name="40% - Accent3 4 2 3 5" xfId="3909" xr:uid="{3DAF4262-7BE4-4DA9-8900-7996D57DA058}"/>
    <cellStyle name="40% - Accent3 4 2 3 5 2" xfId="8068" xr:uid="{F8581F37-E815-4841-ACD9-5CC25AD9659A}"/>
    <cellStyle name="40% - Accent3 4 2 3 6" xfId="4739" xr:uid="{E1419E6B-DAE4-422E-823C-69C09C1A18AC}"/>
    <cellStyle name="40% - Accent3 4 2 3 7" xfId="8915" xr:uid="{9D0A5CA7-32EB-4C87-B70A-0DC762A7D489}"/>
    <cellStyle name="40% - Accent3 4 2 4" xfId="1015" xr:uid="{0FD09634-028C-4B6C-9E50-DEEF992F8731}"/>
    <cellStyle name="40% - Accent3 4 2 4 2" xfId="5147" xr:uid="{C304FEF6-455D-43A1-8A4E-9A358CA07B63}"/>
    <cellStyle name="40% - Accent3 4 2 5" xfId="1843" xr:uid="{0FB3F229-D08E-4F4D-AA4D-60A67131976A}"/>
    <cellStyle name="40% - Accent3 4 2 5 2" xfId="5974" xr:uid="{6CA839C4-0371-42FA-8D4B-34BCC6A48F99}"/>
    <cellStyle name="40% - Accent3 4 2 6" xfId="2667" xr:uid="{9142D374-CD16-42A9-B461-83749AEE9883}"/>
    <cellStyle name="40% - Accent3 4 2 6 2" xfId="6798" xr:uid="{1E0BF7A3-2541-4919-92CA-9A807B4C9C70}"/>
    <cellStyle name="40% - Accent3 4 2 7" xfId="3491" xr:uid="{403C340F-5A54-41AF-BFD0-7AF3F66B0CDB}"/>
    <cellStyle name="40% - Accent3 4 2 7 2" xfId="7650" xr:uid="{F98916CA-52F5-485C-9C54-A061C09823D4}"/>
    <cellStyle name="40% - Accent3 4 2 8" xfId="4321" xr:uid="{72CD8B5F-5984-488C-BD5E-B889855B2844}"/>
    <cellStyle name="40% - Accent3 4 2 9" xfId="8497" xr:uid="{40FF895C-8ADB-4406-B053-3947D3D2DEDC}"/>
    <cellStyle name="40% - Accent3 4 3" xfId="294" xr:uid="{00000000-0005-0000-0000-000020020000}"/>
    <cellStyle name="40% - Accent3 4 3 2" xfId="711" xr:uid="{00000000-0005-0000-0000-000021020000}"/>
    <cellStyle name="40% - Accent3 4 3 2 2" xfId="1537" xr:uid="{1C195B0D-49B9-4391-9B7E-76C3A5704D22}"/>
    <cellStyle name="40% - Accent3 4 3 2 2 2" xfId="5669" xr:uid="{B4FF0F0A-9CE3-41F1-94A3-1AD4697F3F13}"/>
    <cellStyle name="40% - Accent3 4 3 2 3" xfId="2365" xr:uid="{8730F77D-1C34-40A2-AC0E-D1FC31BB3890}"/>
    <cellStyle name="40% - Accent3 4 3 2 3 2" xfId="6496" xr:uid="{A602FAEE-8E9D-45AD-B442-587F1CB0C5C7}"/>
    <cellStyle name="40% - Accent3 4 3 2 4" xfId="3189" xr:uid="{5E9A41F4-2864-4B24-BA76-A0375907F03B}"/>
    <cellStyle name="40% - Accent3 4 3 2 4 2" xfId="7320" xr:uid="{41671E5F-7F1F-474F-8057-AFAB1C4BD36C}"/>
    <cellStyle name="40% - Accent3 4 3 2 5" xfId="4013" xr:uid="{748EF9BA-B9B6-4C7E-A8DE-F63211851E02}"/>
    <cellStyle name="40% - Accent3 4 3 2 5 2" xfId="8172" xr:uid="{E65E61CC-CED7-4847-AF14-A1C5F86394E2}"/>
    <cellStyle name="40% - Accent3 4 3 2 6" xfId="4843" xr:uid="{FFBD1C47-7E3F-4901-8BF6-3FB5D03E8EF4}"/>
    <cellStyle name="40% - Accent3 4 3 2 7" xfId="9019" xr:uid="{5215464B-1044-4F7B-A553-4218CEFDF8EC}"/>
    <cellStyle name="40% - Accent3 4 3 3" xfId="1120" xr:uid="{AE4D7BCD-965C-4AF6-8246-844C533C8F3E}"/>
    <cellStyle name="40% - Accent3 4 3 3 2" xfId="5252" xr:uid="{633B86DF-C66A-4DB2-97B2-0DC16C0852A8}"/>
    <cellStyle name="40% - Accent3 4 3 4" xfId="1948" xr:uid="{C4A85696-471D-4F7E-98A9-BC06BF6BEBD4}"/>
    <cellStyle name="40% - Accent3 4 3 4 2" xfId="6079" xr:uid="{71F78B51-3C45-4578-9496-69833DF3DEAC}"/>
    <cellStyle name="40% - Accent3 4 3 5" xfId="2772" xr:uid="{374ACC1B-958C-44AA-9B9B-A44DFA4018CE}"/>
    <cellStyle name="40% - Accent3 4 3 5 2" xfId="6903" xr:uid="{1E1AEED1-91B9-4945-BFFA-CD177952549A}"/>
    <cellStyle name="40% - Accent3 4 3 6" xfId="3596" xr:uid="{94632FB2-5F89-4FEF-A2C7-0F12A4E7B15B}"/>
    <cellStyle name="40% - Accent3 4 3 6 2" xfId="7755" xr:uid="{05447498-3E10-477C-868B-381807ECB641}"/>
    <cellStyle name="40% - Accent3 4 3 7" xfId="4426" xr:uid="{5314B25A-5334-49DD-9E38-404435908922}"/>
    <cellStyle name="40% - Accent3 4 3 8" xfId="8602" xr:uid="{B3AEA117-5F48-4BC2-84A5-C77AAFB448BD}"/>
    <cellStyle name="40% - Accent3 4 4" xfId="503" xr:uid="{00000000-0005-0000-0000-000022020000}"/>
    <cellStyle name="40% - Accent3 4 4 2" xfId="1329" xr:uid="{69DE7A01-781C-4542-9A81-9B46DA672C4E}"/>
    <cellStyle name="40% - Accent3 4 4 2 2" xfId="5461" xr:uid="{DBB23332-1AFD-47EE-B52E-9F198992769E}"/>
    <cellStyle name="40% - Accent3 4 4 3" xfId="2157" xr:uid="{6004E918-D30C-47F6-B05E-4A9D5380DFA1}"/>
    <cellStyle name="40% - Accent3 4 4 3 2" xfId="6288" xr:uid="{26F3FCF7-6EEA-4BD3-9F3D-5B695AA89230}"/>
    <cellStyle name="40% - Accent3 4 4 4" xfId="2981" xr:uid="{B1E3E2CB-06C9-46A2-BC86-3701AC3F0282}"/>
    <cellStyle name="40% - Accent3 4 4 4 2" xfId="7112" xr:uid="{3DFA4DEC-A943-446A-B81C-8311BF767174}"/>
    <cellStyle name="40% - Accent3 4 4 5" xfId="3805" xr:uid="{0E3CF1FF-90DF-40E2-8C5A-1F7160FAAF82}"/>
    <cellStyle name="40% - Accent3 4 4 5 2" xfId="7964" xr:uid="{EEA63DF2-088D-476E-96DF-8CFC66492FF1}"/>
    <cellStyle name="40% - Accent3 4 4 6" xfId="4635" xr:uid="{E3E2372A-943A-4496-95B7-C670F1911434}"/>
    <cellStyle name="40% - Accent3 4 4 7" xfId="8811" xr:uid="{A4A86BBB-F47C-4156-83FB-A184D716B04B}"/>
    <cellStyle name="40% - Accent3 4 5" xfId="909" xr:uid="{52ECBC43-E81E-4F95-91BD-4BEAA5211E8A}"/>
    <cellStyle name="40% - Accent3 4 5 2" xfId="5041" xr:uid="{76C2EBBB-48F1-4997-82E0-A924A4E9C2E1}"/>
    <cellStyle name="40% - Accent3 4 6" xfId="1737" xr:uid="{97DFC6AB-DD63-4B33-A64B-663F66B484D2}"/>
    <cellStyle name="40% - Accent3 4 6 2" xfId="5868" xr:uid="{A24B10A6-70D4-4322-BAC3-41849F3E14E1}"/>
    <cellStyle name="40% - Accent3 4 7" xfId="2561" xr:uid="{8F147EC0-EBD9-496B-A7E0-A66372F8A993}"/>
    <cellStyle name="40% - Accent3 4 7 2" xfId="6692" xr:uid="{9949F61C-8F87-4116-8D16-3C7DB12E4E91}"/>
    <cellStyle name="40% - Accent3 4 8" xfId="3385" xr:uid="{EF19A836-95D4-4CAE-802E-BFC41FA3CAD9}"/>
    <cellStyle name="40% - Accent3 4 8 2" xfId="7544" xr:uid="{E2C4CA34-B635-49C4-AC82-01CEFAFBAFFF}"/>
    <cellStyle name="40% - Accent3 4 9" xfId="4215" xr:uid="{78340F09-79B8-4155-8D7B-5DE1EAD0B672}"/>
    <cellStyle name="40% - Accent3 5" xfId="96" xr:uid="{00000000-0005-0000-0000-000023020000}"/>
    <cellStyle name="40% - Accent3 5 10" xfId="8404" xr:uid="{230981AE-931C-41BA-A135-619496DE0257}"/>
    <cellStyle name="40% - Accent3 5 2" xfId="201" xr:uid="{00000000-0005-0000-0000-000024020000}"/>
    <cellStyle name="40% - Accent3 5 2 2" xfId="410" xr:uid="{00000000-0005-0000-0000-000025020000}"/>
    <cellStyle name="40% - Accent3 5 2 2 2" xfId="827" xr:uid="{00000000-0005-0000-0000-000026020000}"/>
    <cellStyle name="40% - Accent3 5 2 2 2 2" xfId="1653" xr:uid="{1CAF3976-3B9A-4110-8E36-19ECD578CD1B}"/>
    <cellStyle name="40% - Accent3 5 2 2 2 2 2" xfId="5785" xr:uid="{105B643F-830F-44D2-94DB-F0AD69C56E18}"/>
    <cellStyle name="40% - Accent3 5 2 2 2 3" xfId="2481" xr:uid="{27C78B3D-FE5C-4765-9718-37198ACCB8A6}"/>
    <cellStyle name="40% - Accent3 5 2 2 2 3 2" xfId="6612" xr:uid="{FE5E662B-FEE0-4B68-81E0-CB35BDE64ADE}"/>
    <cellStyle name="40% - Accent3 5 2 2 2 4" xfId="3305" xr:uid="{C45124A9-04C6-453E-95F8-BE7CF8EB75ED}"/>
    <cellStyle name="40% - Accent3 5 2 2 2 4 2" xfId="7436" xr:uid="{1C542D6F-7A6E-4EA8-92A7-76555F46D59B}"/>
    <cellStyle name="40% - Accent3 5 2 2 2 5" xfId="4129" xr:uid="{A81FF9F2-4EE1-4271-9E68-1BAB313C1A8E}"/>
    <cellStyle name="40% - Accent3 5 2 2 2 5 2" xfId="8288" xr:uid="{D9C0815E-39E0-493A-B6AE-4F873C2FF3EF}"/>
    <cellStyle name="40% - Accent3 5 2 2 2 6" xfId="4959" xr:uid="{A510602D-2A35-4D34-9BE7-A4DDE319A781}"/>
    <cellStyle name="40% - Accent3 5 2 2 2 7" xfId="9135" xr:uid="{C02EEC2A-F47A-4C9D-BF59-34A28839962D}"/>
    <cellStyle name="40% - Accent3 5 2 2 3" xfId="1236" xr:uid="{E9BA6944-810E-44C3-9EB2-46D30DF9D0D9}"/>
    <cellStyle name="40% - Accent3 5 2 2 3 2" xfId="5368" xr:uid="{0083AAFD-7826-4576-B0BC-789B44FE62CE}"/>
    <cellStyle name="40% - Accent3 5 2 2 4" xfId="2064" xr:uid="{10110292-F20E-4AC1-82DD-B7CA95833969}"/>
    <cellStyle name="40% - Accent3 5 2 2 4 2" xfId="6195" xr:uid="{7FEC516E-61DC-43F7-B6F9-0A8179A2D2EE}"/>
    <cellStyle name="40% - Accent3 5 2 2 5" xfId="2888" xr:uid="{1575AE84-5D9D-454C-8AC2-624221B7A488}"/>
    <cellStyle name="40% - Accent3 5 2 2 5 2" xfId="7019" xr:uid="{E32BAD68-A55E-4346-8034-1E323E53E1CA}"/>
    <cellStyle name="40% - Accent3 5 2 2 6" xfId="3712" xr:uid="{72B0AECF-6FA2-4AA2-83FB-C6B13777D09E}"/>
    <cellStyle name="40% - Accent3 5 2 2 6 2" xfId="7871" xr:uid="{EBC0F937-4179-4D44-BF5B-039901383F62}"/>
    <cellStyle name="40% - Accent3 5 2 2 7" xfId="4542" xr:uid="{4E814876-8354-42DF-9567-528BBE0F9D54}"/>
    <cellStyle name="40% - Accent3 5 2 2 8" xfId="8718" xr:uid="{E6D1119E-1B64-455D-A215-C968FA6380C7}"/>
    <cellStyle name="40% - Accent3 5 2 3" xfId="619" xr:uid="{00000000-0005-0000-0000-000027020000}"/>
    <cellStyle name="40% - Accent3 5 2 3 2" xfId="1445" xr:uid="{DFD3BB5D-14D7-4A2D-ACB9-129CF4DEC651}"/>
    <cellStyle name="40% - Accent3 5 2 3 2 2" xfId="5577" xr:uid="{003B005A-8424-4B43-8268-155658761F29}"/>
    <cellStyle name="40% - Accent3 5 2 3 3" xfId="2273" xr:uid="{504C93D0-DCE6-4E65-AD18-3E31727B74FC}"/>
    <cellStyle name="40% - Accent3 5 2 3 3 2" xfId="6404" xr:uid="{01A21C45-6D30-4C15-884C-37495E7CC61B}"/>
    <cellStyle name="40% - Accent3 5 2 3 4" xfId="3097" xr:uid="{A526FA3A-FBE0-4033-9D1F-C99825D518D6}"/>
    <cellStyle name="40% - Accent3 5 2 3 4 2" xfId="7228" xr:uid="{4D8A0F55-D325-462F-ACB9-61FD06C9BE25}"/>
    <cellStyle name="40% - Accent3 5 2 3 5" xfId="3921" xr:uid="{09153148-4506-4B40-984E-9F4F2FFB1AF4}"/>
    <cellStyle name="40% - Accent3 5 2 3 5 2" xfId="8080" xr:uid="{48A9CE41-BD5A-47F7-9197-488E22D7E6BA}"/>
    <cellStyle name="40% - Accent3 5 2 3 6" xfId="4751" xr:uid="{BC2ABC45-78B9-47E1-933A-46EF0E313499}"/>
    <cellStyle name="40% - Accent3 5 2 3 7" xfId="8927" xr:uid="{E58ED41A-43AB-4944-BDA4-CBE660329B50}"/>
    <cellStyle name="40% - Accent3 5 2 4" xfId="1027" xr:uid="{65286C38-73A2-4B23-AC82-2C6FDB1AA37C}"/>
    <cellStyle name="40% - Accent3 5 2 4 2" xfId="5159" xr:uid="{DB30220E-0077-4868-97AF-F3067F690E81}"/>
    <cellStyle name="40% - Accent3 5 2 5" xfId="1855" xr:uid="{50D8D609-77F2-4BE8-8D16-878ED0A1E5D7}"/>
    <cellStyle name="40% - Accent3 5 2 5 2" xfId="5986" xr:uid="{95D56738-DA63-4B23-B053-7D04E5596D61}"/>
    <cellStyle name="40% - Accent3 5 2 6" xfId="2679" xr:uid="{8F8D2A7B-DAB5-4F86-9093-A4336A0B3F23}"/>
    <cellStyle name="40% - Accent3 5 2 6 2" xfId="6810" xr:uid="{39904ADE-FB32-4651-9E92-F79E347DAC29}"/>
    <cellStyle name="40% - Accent3 5 2 7" xfId="3503" xr:uid="{C7517B19-A462-4088-B255-0322EBE33DFE}"/>
    <cellStyle name="40% - Accent3 5 2 7 2" xfId="7662" xr:uid="{E3065CD2-12B5-49C6-BEDF-2937B7ACC197}"/>
    <cellStyle name="40% - Accent3 5 2 8" xfId="4333" xr:uid="{3119D064-49EF-4513-9FC4-88F473771B52}"/>
    <cellStyle name="40% - Accent3 5 2 9" xfId="8509" xr:uid="{1ACB2B8A-F520-4D9E-8336-CB126447EA4E}"/>
    <cellStyle name="40% - Accent3 5 3" xfId="306" xr:uid="{00000000-0005-0000-0000-000028020000}"/>
    <cellStyle name="40% - Accent3 5 3 2" xfId="723" xr:uid="{00000000-0005-0000-0000-000029020000}"/>
    <cellStyle name="40% - Accent3 5 3 2 2" xfId="1549" xr:uid="{3F2C91E9-F097-4BDB-8502-5D7D17E62F61}"/>
    <cellStyle name="40% - Accent3 5 3 2 2 2" xfId="5681" xr:uid="{64ED42AE-8800-491B-BBEC-62F7FAF1A467}"/>
    <cellStyle name="40% - Accent3 5 3 2 3" xfId="2377" xr:uid="{95AD9198-16D6-46CC-8686-853FD54449A3}"/>
    <cellStyle name="40% - Accent3 5 3 2 3 2" xfId="6508" xr:uid="{C2BCB4E2-CC11-4056-BE44-830D0CA394BF}"/>
    <cellStyle name="40% - Accent3 5 3 2 4" xfId="3201" xr:uid="{63FD253E-550F-4C90-AFF9-BBA1340F0ECF}"/>
    <cellStyle name="40% - Accent3 5 3 2 4 2" xfId="7332" xr:uid="{0587AFD3-1AE9-4437-84C6-5653626ED27A}"/>
    <cellStyle name="40% - Accent3 5 3 2 5" xfId="4025" xr:uid="{D364EA17-2C86-4EF7-A894-FD1E0DB667B3}"/>
    <cellStyle name="40% - Accent3 5 3 2 5 2" xfId="8184" xr:uid="{20318C79-6BDB-4B80-A9E9-1EF4C456D8FC}"/>
    <cellStyle name="40% - Accent3 5 3 2 6" xfId="4855" xr:uid="{A774E39E-24BA-4F4D-9DCA-9F53DEEC95F8}"/>
    <cellStyle name="40% - Accent3 5 3 2 7" xfId="9031" xr:uid="{72B3FAAE-67C6-4E66-B40C-B37D11059A05}"/>
    <cellStyle name="40% - Accent3 5 3 3" xfId="1132" xr:uid="{DBADCD64-7C19-4837-AB01-E7A94EC81A32}"/>
    <cellStyle name="40% - Accent3 5 3 3 2" xfId="5264" xr:uid="{5BCE3A7C-8DEF-425B-B8FF-A6C4831E035F}"/>
    <cellStyle name="40% - Accent3 5 3 4" xfId="1960" xr:uid="{23500C67-6A07-4E4B-BD03-BE4576F09B99}"/>
    <cellStyle name="40% - Accent3 5 3 4 2" xfId="6091" xr:uid="{9A1E0362-FB8B-4AC8-81E9-6DB324658965}"/>
    <cellStyle name="40% - Accent3 5 3 5" xfId="2784" xr:uid="{9958087B-BCED-464C-BFA2-70395FE5D97E}"/>
    <cellStyle name="40% - Accent3 5 3 5 2" xfId="6915" xr:uid="{5C0FEAAB-C9C2-47EE-B897-1DB9AC36AE00}"/>
    <cellStyle name="40% - Accent3 5 3 6" xfId="3608" xr:uid="{E23BA273-C7C6-482F-A773-07F4CBEF1380}"/>
    <cellStyle name="40% - Accent3 5 3 6 2" xfId="7767" xr:uid="{7A63E171-5757-4FC4-A0E8-D0E4EC44EA1C}"/>
    <cellStyle name="40% - Accent3 5 3 7" xfId="4438" xr:uid="{43A93784-17AE-4CFB-AF07-7A2919AE1D51}"/>
    <cellStyle name="40% - Accent3 5 3 8" xfId="8614" xr:uid="{817BD790-53F0-4E8F-8309-30951F417205}"/>
    <cellStyle name="40% - Accent3 5 4" xfId="515" xr:uid="{00000000-0005-0000-0000-00002A020000}"/>
    <cellStyle name="40% - Accent3 5 4 2" xfId="1341" xr:uid="{5E8D8635-B59B-40E3-8CEE-4714ABCA2D81}"/>
    <cellStyle name="40% - Accent3 5 4 2 2" xfId="5473" xr:uid="{DAC4A946-0738-472A-B8AD-039FADC5E8F1}"/>
    <cellStyle name="40% - Accent3 5 4 3" xfId="2169" xr:uid="{D980E7B3-7A9E-44B2-823B-D52715A730D6}"/>
    <cellStyle name="40% - Accent3 5 4 3 2" xfId="6300" xr:uid="{1D331DA9-C7B0-45CA-9C30-A030E00500B0}"/>
    <cellStyle name="40% - Accent3 5 4 4" xfId="2993" xr:uid="{8320C527-D9E3-4596-8C45-FD6C191DEAC4}"/>
    <cellStyle name="40% - Accent3 5 4 4 2" xfId="7124" xr:uid="{CDA429F7-69C0-4B33-AEE9-1956908A74E9}"/>
    <cellStyle name="40% - Accent3 5 4 5" xfId="3817" xr:uid="{8735E1DD-B701-4009-9B4F-5F68841703A8}"/>
    <cellStyle name="40% - Accent3 5 4 5 2" xfId="7976" xr:uid="{843FEAD3-18BA-4E85-B596-9EEF54BA01CB}"/>
    <cellStyle name="40% - Accent3 5 4 6" xfId="4647" xr:uid="{B8A6B151-0258-4DEC-BC0B-C044FEE9A51B}"/>
    <cellStyle name="40% - Accent3 5 4 7" xfId="8823" xr:uid="{07C1A443-A7A6-4E96-B364-0CB8219546EE}"/>
    <cellStyle name="40% - Accent3 5 5" xfId="922" xr:uid="{DF9748C8-B983-4CA0-A553-4576080533C7}"/>
    <cellStyle name="40% - Accent3 5 5 2" xfId="5054" xr:uid="{D4C35652-1803-45D2-B369-44E68DCA0E9A}"/>
    <cellStyle name="40% - Accent3 5 6" xfId="1750" xr:uid="{9E8AF656-9537-45E8-A147-73F34FAA5E56}"/>
    <cellStyle name="40% - Accent3 5 6 2" xfId="5881" xr:uid="{AFA54FAE-0566-49FA-8A38-1F2DC5A76096}"/>
    <cellStyle name="40% - Accent3 5 7" xfId="2574" xr:uid="{12F4DE24-DB38-4EFF-AC4D-3E2A578B1DF0}"/>
    <cellStyle name="40% - Accent3 5 7 2" xfId="6705" xr:uid="{75C92566-88C2-4CE9-91B7-4697080A2481}"/>
    <cellStyle name="40% - Accent3 5 8" xfId="3398" xr:uid="{DE62A48B-4FA5-4A4E-AF3B-BD45D5D701E4}"/>
    <cellStyle name="40% - Accent3 5 8 2" xfId="7557" xr:uid="{E5F8D4A2-3B8F-4161-AD19-C9AABB4B8B5F}"/>
    <cellStyle name="40% - Accent3 5 9" xfId="4228" xr:uid="{32BB3C41-33C2-4F93-8C51-59249669DF58}"/>
    <cellStyle name="40% - Accent3 6" xfId="136" xr:uid="{00000000-0005-0000-0000-00002B020000}"/>
    <cellStyle name="40% - Accent3 6 2" xfId="346" xr:uid="{00000000-0005-0000-0000-00002C020000}"/>
    <cellStyle name="40% - Accent3 6 2 2" xfId="763" xr:uid="{00000000-0005-0000-0000-00002D020000}"/>
    <cellStyle name="40% - Accent3 6 2 2 2" xfId="1589" xr:uid="{AE7A1248-FEFC-4D12-B049-E2026426E668}"/>
    <cellStyle name="40% - Accent3 6 2 2 2 2" xfId="5721" xr:uid="{ACABB0FE-1F02-4070-AE63-1955648E87AD}"/>
    <cellStyle name="40% - Accent3 6 2 2 3" xfId="2417" xr:uid="{85469FF3-159B-434B-A32B-C93D586846D4}"/>
    <cellStyle name="40% - Accent3 6 2 2 3 2" xfId="6548" xr:uid="{E8F2601A-5525-4E9A-982B-5F0789EC4C2E}"/>
    <cellStyle name="40% - Accent3 6 2 2 4" xfId="3241" xr:uid="{CCBC3035-2657-4FD0-91D6-5FDB63FBB11C}"/>
    <cellStyle name="40% - Accent3 6 2 2 4 2" xfId="7372" xr:uid="{60D20E76-E432-4566-BB7C-1E4767712EE5}"/>
    <cellStyle name="40% - Accent3 6 2 2 5" xfId="4065" xr:uid="{E95E71B3-411D-4ED1-BD59-BD0789381183}"/>
    <cellStyle name="40% - Accent3 6 2 2 5 2" xfId="8224" xr:uid="{E4D2C92D-FF4B-4824-A994-5309811E5833}"/>
    <cellStyle name="40% - Accent3 6 2 2 6" xfId="4895" xr:uid="{5C39BD9B-DD0C-4F8B-9766-78E12CA8B6BB}"/>
    <cellStyle name="40% - Accent3 6 2 2 7" xfId="9071" xr:uid="{A2ABB899-233D-412C-B2B3-1B57D479D004}"/>
    <cellStyle name="40% - Accent3 6 2 3" xfId="1172" xr:uid="{1498DBFC-FE68-4D6D-AFA0-C1D2AAC1FB06}"/>
    <cellStyle name="40% - Accent3 6 2 3 2" xfId="5304" xr:uid="{8D1E223D-C38F-4594-AC8C-B71F89429987}"/>
    <cellStyle name="40% - Accent3 6 2 4" xfId="2000" xr:uid="{583A2890-BBF8-42C9-B61C-5461BF3D148C}"/>
    <cellStyle name="40% - Accent3 6 2 4 2" xfId="6131" xr:uid="{E20160BE-5723-464A-B5CE-E1F4C99794AC}"/>
    <cellStyle name="40% - Accent3 6 2 5" xfId="2824" xr:uid="{A87FC47C-EF42-428A-8296-969840831EFC}"/>
    <cellStyle name="40% - Accent3 6 2 5 2" xfId="6955" xr:uid="{7FBF2A70-E127-4F95-B23B-CEB88A9C6B44}"/>
    <cellStyle name="40% - Accent3 6 2 6" xfId="3648" xr:uid="{6478525B-2807-43A7-81A4-8A0E1C42B736}"/>
    <cellStyle name="40% - Accent3 6 2 6 2" xfId="7807" xr:uid="{82F641CE-7BFD-4278-A433-AFB4EF9F25F0}"/>
    <cellStyle name="40% - Accent3 6 2 7" xfId="4478" xr:uid="{FC5D7FBA-A8EA-493F-A15C-C989222DF53D}"/>
    <cellStyle name="40% - Accent3 6 2 8" xfId="8654" xr:uid="{BF1891B6-B6AE-44E9-9963-E2CCC191DDBC}"/>
    <cellStyle name="40% - Accent3 6 3" xfId="555" xr:uid="{00000000-0005-0000-0000-00002E020000}"/>
    <cellStyle name="40% - Accent3 6 3 2" xfId="1381" xr:uid="{A4729AB3-B386-49A6-B900-254E09FA6774}"/>
    <cellStyle name="40% - Accent3 6 3 2 2" xfId="5513" xr:uid="{68460628-364B-47EA-86A5-79AE8F05DFFC}"/>
    <cellStyle name="40% - Accent3 6 3 3" xfId="2209" xr:uid="{FC99941E-1F82-4503-BE44-A8FC17BB8D6C}"/>
    <cellStyle name="40% - Accent3 6 3 3 2" xfId="6340" xr:uid="{7170D7F9-CAF1-4147-94F6-72DCD0A87647}"/>
    <cellStyle name="40% - Accent3 6 3 4" xfId="3033" xr:uid="{6A3C099A-1659-48DF-85D7-A5476C7DD398}"/>
    <cellStyle name="40% - Accent3 6 3 4 2" xfId="7164" xr:uid="{6694CA05-E866-454A-824B-FA9ED70C83E9}"/>
    <cellStyle name="40% - Accent3 6 3 5" xfId="3857" xr:uid="{AC0CFF85-E321-4115-BDB4-1E936D002DDD}"/>
    <cellStyle name="40% - Accent3 6 3 5 2" xfId="8016" xr:uid="{5E8A48C0-9A66-4FC6-8B1D-663228015C09}"/>
    <cellStyle name="40% - Accent3 6 3 6" xfId="4687" xr:uid="{9D935E71-A830-4FEF-9A0C-4A051ECEF99D}"/>
    <cellStyle name="40% - Accent3 6 3 7" xfId="8863" xr:uid="{7DFF0374-EA50-4CE6-9380-6930ABE95299}"/>
    <cellStyle name="40% - Accent3 6 4" xfId="962" xr:uid="{0499F185-A9A3-4E57-A1F6-02D96A3D9C49}"/>
    <cellStyle name="40% - Accent3 6 4 2" xfId="5094" xr:uid="{4DFB6A33-56EE-4D14-9BD9-1A1927CCAA62}"/>
    <cellStyle name="40% - Accent3 6 5" xfId="1790" xr:uid="{39805C1D-25AA-4179-B6B6-121D4A66CE20}"/>
    <cellStyle name="40% - Accent3 6 5 2" xfId="5921" xr:uid="{1338722B-F63A-439A-AAB8-6467E2514C98}"/>
    <cellStyle name="40% - Accent3 6 6" xfId="2614" xr:uid="{6856ED24-D675-4538-8E46-FAB59F828089}"/>
    <cellStyle name="40% - Accent3 6 6 2" xfId="6745" xr:uid="{79E0CF79-93B9-480E-9DB1-543A19EF66BC}"/>
    <cellStyle name="40% - Accent3 6 7" xfId="3438" xr:uid="{0CDB10EA-239C-4A85-A9A4-55213D6AC82B}"/>
    <cellStyle name="40% - Accent3 6 7 2" xfId="7597" xr:uid="{DF67E3DA-BCB5-4C7B-94F1-2025B41A939D}"/>
    <cellStyle name="40% - Accent3 6 8" xfId="4268" xr:uid="{428D3D6E-89EF-473A-9DAB-C37BED211B11}"/>
    <cellStyle name="40% - Accent3 6 9" xfId="8444" xr:uid="{B8F449C9-F9F0-4DF1-BBA2-8AF03B1C5D87}"/>
    <cellStyle name="40% - Accent3 7" xfId="149" xr:uid="{00000000-0005-0000-0000-00002F020000}"/>
    <cellStyle name="40% - Accent3 7 2" xfId="358" xr:uid="{00000000-0005-0000-0000-000030020000}"/>
    <cellStyle name="40% - Accent3 7 2 2" xfId="775" xr:uid="{00000000-0005-0000-0000-000031020000}"/>
    <cellStyle name="40% - Accent3 7 2 2 2" xfId="1601" xr:uid="{1D483442-4806-451E-AD5B-FB6D37C7F735}"/>
    <cellStyle name="40% - Accent3 7 2 2 2 2" xfId="5733" xr:uid="{0CCC409E-B7AA-40D5-AE21-1F48F4B0F25D}"/>
    <cellStyle name="40% - Accent3 7 2 2 3" xfId="2429" xr:uid="{56ECC7AB-A3EA-4E92-A0A0-D8AB904D05CC}"/>
    <cellStyle name="40% - Accent3 7 2 2 3 2" xfId="6560" xr:uid="{D28BB394-2D4B-4CF2-8C74-851AA0A0FE53}"/>
    <cellStyle name="40% - Accent3 7 2 2 4" xfId="3253" xr:uid="{FEEFE06B-B07E-4733-ABE1-F2B788AE9E30}"/>
    <cellStyle name="40% - Accent3 7 2 2 4 2" xfId="7384" xr:uid="{B7D329DA-79EC-4211-84D4-1034E29FA7A8}"/>
    <cellStyle name="40% - Accent3 7 2 2 5" xfId="4077" xr:uid="{D3CBEA09-79BA-431F-B564-E366382D74E1}"/>
    <cellStyle name="40% - Accent3 7 2 2 5 2" xfId="8236" xr:uid="{0E91531A-7441-4F0E-BD84-ED5E8F90F6C0}"/>
    <cellStyle name="40% - Accent3 7 2 2 6" xfId="4907" xr:uid="{B695A834-BCF7-46FA-B831-1050D0CEDC06}"/>
    <cellStyle name="40% - Accent3 7 2 2 7" xfId="9083" xr:uid="{2A2916C6-B3C9-4320-B783-062315B67AAB}"/>
    <cellStyle name="40% - Accent3 7 2 3" xfId="1184" xr:uid="{813D9740-41E4-4C50-A5A9-821B5F8C4608}"/>
    <cellStyle name="40% - Accent3 7 2 3 2" xfId="5316" xr:uid="{8CFCB733-727C-4267-A7E1-BFD7C7FFF592}"/>
    <cellStyle name="40% - Accent3 7 2 4" xfId="2012" xr:uid="{B269DF94-7D8A-4C8B-BF2E-7720F275F09F}"/>
    <cellStyle name="40% - Accent3 7 2 4 2" xfId="6143" xr:uid="{0D99BBB3-BF31-44EF-961B-2948196F891E}"/>
    <cellStyle name="40% - Accent3 7 2 5" xfId="2836" xr:uid="{2641FE40-6F17-4B2C-9C95-7CEB3CFD715C}"/>
    <cellStyle name="40% - Accent3 7 2 5 2" xfId="6967" xr:uid="{802F0FB8-1762-46A3-8DA3-9372CECE7AEA}"/>
    <cellStyle name="40% - Accent3 7 2 6" xfId="3660" xr:uid="{9507C64E-D9E5-439F-A994-1F2D200CBB42}"/>
    <cellStyle name="40% - Accent3 7 2 6 2" xfId="7819" xr:uid="{77E93B19-56AB-42AE-9CE7-00FED1E48BFC}"/>
    <cellStyle name="40% - Accent3 7 2 7" xfId="4490" xr:uid="{40EF468C-C38E-4E28-9AFE-8F211660A412}"/>
    <cellStyle name="40% - Accent3 7 2 8" xfId="8666" xr:uid="{E998B711-119D-4366-8D2B-3C8F9F6A1370}"/>
    <cellStyle name="40% - Accent3 7 3" xfId="567" xr:uid="{00000000-0005-0000-0000-000032020000}"/>
    <cellStyle name="40% - Accent3 7 3 2" xfId="1393" xr:uid="{6EA42C55-E497-4789-BB6E-E5308C998DB8}"/>
    <cellStyle name="40% - Accent3 7 3 2 2" xfId="5525" xr:uid="{C3B4F60C-0723-45E9-82FD-DD007A78134E}"/>
    <cellStyle name="40% - Accent3 7 3 3" xfId="2221" xr:uid="{AADC5F1C-E2D1-4125-963B-289EA487106E}"/>
    <cellStyle name="40% - Accent3 7 3 3 2" xfId="6352" xr:uid="{712CDB13-4E3A-4E02-9199-F62BC8179228}"/>
    <cellStyle name="40% - Accent3 7 3 4" xfId="3045" xr:uid="{F3B0F917-77BD-4CFB-BE33-3E80372EF8E6}"/>
    <cellStyle name="40% - Accent3 7 3 4 2" xfId="7176" xr:uid="{E3849D5E-81E1-4CC3-8B61-14E8116FFBAE}"/>
    <cellStyle name="40% - Accent3 7 3 5" xfId="3869" xr:uid="{E5A3EB9C-3436-484F-B527-F5C4AF4F66F2}"/>
    <cellStyle name="40% - Accent3 7 3 5 2" xfId="8028" xr:uid="{4C72C9CF-3DC2-4751-9C32-DAD5B61163D5}"/>
    <cellStyle name="40% - Accent3 7 3 6" xfId="4699" xr:uid="{021FABE8-5BA0-40EE-831B-723485A640B7}"/>
    <cellStyle name="40% - Accent3 7 3 7" xfId="8875" xr:uid="{5C342740-7281-4165-8CAF-217BD5D290E1}"/>
    <cellStyle name="40% - Accent3 7 4" xfId="975" xr:uid="{B09A5172-DE0A-4DA5-B772-D9B2123517C6}"/>
    <cellStyle name="40% - Accent3 7 4 2" xfId="5107" xr:uid="{0A2D320B-8E8D-48C2-B12E-BF07A0A5E687}"/>
    <cellStyle name="40% - Accent3 7 5" xfId="1803" xr:uid="{D67FB3CB-905E-400E-85B9-E1A2DCFD35D2}"/>
    <cellStyle name="40% - Accent3 7 5 2" xfId="5934" xr:uid="{9C26F1C2-66C5-4940-941D-EE94F07C5340}"/>
    <cellStyle name="40% - Accent3 7 6" xfId="2627" xr:uid="{15EE9928-01C7-4C61-BB3E-8578A03C75B0}"/>
    <cellStyle name="40% - Accent3 7 6 2" xfId="6758" xr:uid="{D6EC3A4F-D83C-4557-AA41-B088EE188A03}"/>
    <cellStyle name="40% - Accent3 7 7" xfId="3451" xr:uid="{C0078616-F6D5-4687-A4BC-260F617BBDD8}"/>
    <cellStyle name="40% - Accent3 7 7 2" xfId="7610" xr:uid="{066F8654-2580-4F19-AB05-F638819C8321}"/>
    <cellStyle name="40% - Accent3 7 8" xfId="4281" xr:uid="{CD7B2536-C5F4-4FE3-92B9-62F1842AE842}"/>
    <cellStyle name="40% - Accent3 7 9" xfId="8457" xr:uid="{7C86504E-8713-4F8D-9231-ABEF965D4DFA}"/>
    <cellStyle name="40% - Accent3 8" xfId="241" xr:uid="{00000000-0005-0000-0000-000033020000}"/>
    <cellStyle name="40% - Accent3 8 2" xfId="659" xr:uid="{00000000-0005-0000-0000-000034020000}"/>
    <cellStyle name="40% - Accent3 8 2 2" xfId="1485" xr:uid="{23FCCE18-C482-4C92-99FF-308FC7B9FFEC}"/>
    <cellStyle name="40% - Accent3 8 2 2 2" xfId="5617" xr:uid="{501E79F8-A21A-4A67-A36F-B03295748FE8}"/>
    <cellStyle name="40% - Accent3 8 2 3" xfId="2313" xr:uid="{F0C33FEC-8466-42B3-AB5F-E8917271622B}"/>
    <cellStyle name="40% - Accent3 8 2 3 2" xfId="6444" xr:uid="{FBF7F175-5CD1-4C65-8970-C132A1D2894C}"/>
    <cellStyle name="40% - Accent3 8 2 4" xfId="3137" xr:uid="{0D902D88-CE8F-4B63-A3F8-D1B673A96F06}"/>
    <cellStyle name="40% - Accent3 8 2 4 2" xfId="7268" xr:uid="{6C875330-7D15-46F3-AD10-AB085588DA6E}"/>
    <cellStyle name="40% - Accent3 8 2 5" xfId="3961" xr:uid="{3001CE03-E4ED-4504-B343-8D5DA18611F4}"/>
    <cellStyle name="40% - Accent3 8 2 5 2" xfId="8120" xr:uid="{BC560B93-D383-4EEB-8BC1-61EF12F45C01}"/>
    <cellStyle name="40% - Accent3 8 2 6" xfId="4791" xr:uid="{C3A09EEC-8A59-4D39-9F1C-2B558F48CFB6}"/>
    <cellStyle name="40% - Accent3 8 2 7" xfId="8967" xr:uid="{BAE7E68C-79C7-4F25-9421-647C38B8DE03}"/>
    <cellStyle name="40% - Accent3 8 3" xfId="1067" xr:uid="{CDA6C95F-24FA-460D-8E3C-83C6E02C7DFA}"/>
    <cellStyle name="40% - Accent3 8 3 2" xfId="5199" xr:uid="{B27A7DAC-61A3-41C2-9A5C-2671FF447517}"/>
    <cellStyle name="40% - Accent3 8 4" xfId="1895" xr:uid="{95A7F47C-B407-4493-90BB-93738707D374}"/>
    <cellStyle name="40% - Accent3 8 4 2" xfId="6026" xr:uid="{7C0F1086-7880-4A40-8E41-E5500A50FC4F}"/>
    <cellStyle name="40% - Accent3 8 5" xfId="2719" xr:uid="{B16CB7B3-CFA0-4C54-A7A2-974C155C39D8}"/>
    <cellStyle name="40% - Accent3 8 5 2" xfId="6850" xr:uid="{8450FCE0-18D6-4AA1-9573-7A82B46A3EF0}"/>
    <cellStyle name="40% - Accent3 8 6" xfId="3543" xr:uid="{94103674-D241-4F02-8CA0-C31D5B4F4A67}"/>
    <cellStyle name="40% - Accent3 8 6 2" xfId="7702" xr:uid="{3A306E02-F4D2-4C42-90FF-8988731873B5}"/>
    <cellStyle name="40% - Accent3 8 7" xfId="4373" xr:uid="{C0EE6987-5AEF-4043-8789-3DDF6DD76EED}"/>
    <cellStyle name="40% - Accent3 8 8" xfId="8549" xr:uid="{449F829F-B033-4147-8581-6BC306F13817}"/>
    <cellStyle name="40% - Accent3 9" xfId="254" xr:uid="{00000000-0005-0000-0000-000035020000}"/>
    <cellStyle name="40% - Accent3 9 2" xfId="671" xr:uid="{00000000-0005-0000-0000-000036020000}"/>
    <cellStyle name="40% - Accent3 9 2 2" xfId="1497" xr:uid="{D97F0152-A286-4010-9204-A37E8F71A96D}"/>
    <cellStyle name="40% - Accent3 9 2 2 2" xfId="5629" xr:uid="{7AF6CB6E-ADCC-4046-B3CA-3032754EAD89}"/>
    <cellStyle name="40% - Accent3 9 2 3" xfId="2325" xr:uid="{76177F6D-E60A-437F-A0D9-88E42AD13F2B}"/>
    <cellStyle name="40% - Accent3 9 2 3 2" xfId="6456" xr:uid="{FC7C3A05-4B53-4650-A86F-562F35102CFA}"/>
    <cellStyle name="40% - Accent3 9 2 4" xfId="3149" xr:uid="{E0871F9F-7FAD-4802-A797-59C33793D23F}"/>
    <cellStyle name="40% - Accent3 9 2 4 2" xfId="7280" xr:uid="{437C9895-38CA-4CAC-B7B3-2D8DBF73D74B}"/>
    <cellStyle name="40% - Accent3 9 2 5" xfId="3973" xr:uid="{1763B446-3947-424E-B76E-9E0CA19D1F18}"/>
    <cellStyle name="40% - Accent3 9 2 5 2" xfId="8132" xr:uid="{7072A355-5002-46A9-95AD-3C6F54166009}"/>
    <cellStyle name="40% - Accent3 9 2 6" xfId="4803" xr:uid="{FF1F6C1A-5850-4262-BF3A-653388E6718F}"/>
    <cellStyle name="40% - Accent3 9 2 7" xfId="8979" xr:uid="{A82CF50F-8006-46B0-B94A-6A10F3723DCA}"/>
    <cellStyle name="40% - Accent3 9 3" xfId="1080" xr:uid="{FAA6423A-170F-4208-B4FF-AAD9B74BC193}"/>
    <cellStyle name="40% - Accent3 9 3 2" xfId="5212" xr:uid="{1813B013-44D5-4C7B-8FB5-8748FEB15861}"/>
    <cellStyle name="40% - Accent3 9 4" xfId="1908" xr:uid="{ECB12E41-50D0-471F-8BF3-2F18640F7E23}"/>
    <cellStyle name="40% - Accent3 9 4 2" xfId="6039" xr:uid="{9866C0AC-BE7C-4351-BE28-4585C05CF1BD}"/>
    <cellStyle name="40% - Accent3 9 5" xfId="2732" xr:uid="{58C9B703-9F2F-4B9B-9DC1-EFCE6A199D5C}"/>
    <cellStyle name="40% - Accent3 9 5 2" xfId="6863" xr:uid="{22AFC1F3-2BB0-44D8-B3D4-300C492399E7}"/>
    <cellStyle name="40% - Accent3 9 6" xfId="3556" xr:uid="{0256E011-9D84-4071-8E42-08469ED70788}"/>
    <cellStyle name="40% - Accent3 9 6 2" xfId="7715" xr:uid="{850EB92C-B7A5-48B3-A8CF-A3378D642029}"/>
    <cellStyle name="40% - Accent3 9 7" xfId="4386" xr:uid="{009E2DDD-2939-40AB-ABF4-2F2023B34E3D}"/>
    <cellStyle name="40% - Accent3 9 8" xfId="8562" xr:uid="{B03D9156-81EB-412C-80BC-D9D971A782DB}"/>
    <cellStyle name="40% - Accent4" xfId="33" builtinId="43" customBuiltin="1"/>
    <cellStyle name="40% - Accent4 10" xfId="452" xr:uid="{00000000-0005-0000-0000-000038020000}"/>
    <cellStyle name="40% - Accent4 10 2" xfId="1278" xr:uid="{1EB7A8A0-0230-49FC-B8F1-823AA3A4014B}"/>
    <cellStyle name="40% - Accent4 10 2 2" xfId="5410" xr:uid="{11E0DA95-EBE3-4024-AF64-7469158C9957}"/>
    <cellStyle name="40% - Accent4 10 3" xfId="2106" xr:uid="{0910AFE8-EB79-430B-AA8D-F1668BCAE929}"/>
    <cellStyle name="40% - Accent4 10 3 2" xfId="6237" xr:uid="{049A9542-310E-43B2-83EC-8135924954A1}"/>
    <cellStyle name="40% - Accent4 10 4" xfId="2930" xr:uid="{B40B863B-5231-4CF0-98A6-B41323BB592E}"/>
    <cellStyle name="40% - Accent4 10 4 2" xfId="7061" xr:uid="{341D9B4D-D316-4BFD-BB91-DF7960C5CA87}"/>
    <cellStyle name="40% - Accent4 10 5" xfId="3754" xr:uid="{37FFFED7-A493-4829-8A40-7E95258A6CE9}"/>
    <cellStyle name="40% - Accent4 10 5 2" xfId="7913" xr:uid="{53CDA21B-248D-436A-93B0-18A1BB23B85F}"/>
    <cellStyle name="40% - Accent4 10 6" xfId="4584" xr:uid="{910A6322-53FE-424B-BFAD-CEB6A388DA32}"/>
    <cellStyle name="40% - Accent4 10 7" xfId="8760" xr:uid="{E1EDB47D-CB55-425E-A083-3DDF11F3AB3A}"/>
    <cellStyle name="40% - Accent4 11" xfId="465" xr:uid="{00000000-0005-0000-0000-000039020000}"/>
    <cellStyle name="40% - Accent4 11 2" xfId="1291" xr:uid="{E28BDF6D-4614-4D5E-8F0A-42B92CB0699E}"/>
    <cellStyle name="40% - Accent4 11 2 2" xfId="5423" xr:uid="{B7ECBC91-5DD3-495F-A32E-D7E1FF4B38A1}"/>
    <cellStyle name="40% - Accent4 11 3" xfId="2119" xr:uid="{9994B685-A6E0-4304-BDCD-6788306F4481}"/>
    <cellStyle name="40% - Accent4 11 3 2" xfId="6250" xr:uid="{D0EC85EF-F98F-4BBD-AF56-80BA0268C935}"/>
    <cellStyle name="40% - Accent4 11 4" xfId="2943" xr:uid="{EB168ACD-CBAC-47AE-BB3A-3940CA273147}"/>
    <cellStyle name="40% - Accent4 11 4 2" xfId="7074" xr:uid="{E393316E-3F2C-45F4-B7E7-F00FB41DE51C}"/>
    <cellStyle name="40% - Accent4 11 5" xfId="3767" xr:uid="{B6BD9C77-6A5A-42E2-A10D-05A95BDB867B}"/>
    <cellStyle name="40% - Accent4 11 5 2" xfId="7926" xr:uid="{25DA512F-7465-4269-94C1-F3EBB893A4BC}"/>
    <cellStyle name="40% - Accent4 11 6" xfId="4597" xr:uid="{40152551-5D33-4D86-BBD7-7739D93914D7}"/>
    <cellStyle name="40% - Accent4 11 7" xfId="8773" xr:uid="{1AF2EE05-EE33-4267-8238-88F27232E46C}"/>
    <cellStyle name="40% - Accent4 12" xfId="870" xr:uid="{B15D2594-3896-4844-AE24-3FDE3AB68111}"/>
    <cellStyle name="40% - Accent4 12 2" xfId="5002" xr:uid="{B8EF55AC-F88C-4C41-8752-EA3503BA10C4}"/>
    <cellStyle name="40% - Accent4 13" xfId="1699" xr:uid="{27AABE14-03A3-4A76-A2AC-9D78B205CAC3}"/>
    <cellStyle name="40% - Accent4 13 2" xfId="5830" xr:uid="{BB9136E4-0BF8-4D44-8A50-D6C20FCE3994}"/>
    <cellStyle name="40% - Accent4 14" xfId="2523" xr:uid="{975478A9-3CDF-4A53-87D4-CC25D32B42EC}"/>
    <cellStyle name="40% - Accent4 14 2" xfId="6654" xr:uid="{446ABE99-B1EB-47F2-9BA0-8D32269478EC}"/>
    <cellStyle name="40% - Accent4 15" xfId="3347" xr:uid="{A6DB400E-78B3-4401-935D-BC592D67DFF9}"/>
    <cellStyle name="40% - Accent4 15 2" xfId="7506" xr:uid="{C5A293EF-44F0-4B6E-B485-CB88916CF501}"/>
    <cellStyle name="40% - Accent4 16" xfId="4176" xr:uid="{5DD163E9-FA33-4CA4-A47C-3C852981A7CB}"/>
    <cellStyle name="40% - Accent4 17" xfId="8353" xr:uid="{6C78834A-7166-4025-B002-24FB5088B151}"/>
    <cellStyle name="40% - Accent4 2" xfId="59" xr:uid="{00000000-0005-0000-0000-00003A020000}"/>
    <cellStyle name="40% - Accent4 2 10" xfId="4191" xr:uid="{A36BA632-2393-4418-A923-BFC6A079715D}"/>
    <cellStyle name="40% - Accent4 2 11" xfId="8367" xr:uid="{FC2E329B-14A7-4923-91DF-578CDF261608}"/>
    <cellStyle name="40% - Accent4 2 2" xfId="112" xr:uid="{00000000-0005-0000-0000-00003B020000}"/>
    <cellStyle name="40% - Accent4 2 2 10" xfId="8420" xr:uid="{05B7B8B2-88D6-483C-A72F-ED05C82DECC7}"/>
    <cellStyle name="40% - Accent4 2 2 2" xfId="217" xr:uid="{00000000-0005-0000-0000-00003C020000}"/>
    <cellStyle name="40% - Accent4 2 2 2 2" xfId="426" xr:uid="{00000000-0005-0000-0000-00003D020000}"/>
    <cellStyle name="40% - Accent4 2 2 2 2 2" xfId="843" xr:uid="{00000000-0005-0000-0000-00003E020000}"/>
    <cellStyle name="40% - Accent4 2 2 2 2 2 2" xfId="1669" xr:uid="{1BF22157-8D3B-44B6-98A7-67C0621A51BA}"/>
    <cellStyle name="40% - Accent4 2 2 2 2 2 2 2" xfId="5801" xr:uid="{E922542E-8116-4984-BB17-78DE11019496}"/>
    <cellStyle name="40% - Accent4 2 2 2 2 2 3" xfId="2497" xr:uid="{014B8CBE-73EB-4CFD-8D18-62EDEB8A3509}"/>
    <cellStyle name="40% - Accent4 2 2 2 2 2 3 2" xfId="6628" xr:uid="{95ADF62D-2B3C-45BC-9F3B-D4A5296C07CD}"/>
    <cellStyle name="40% - Accent4 2 2 2 2 2 4" xfId="3321" xr:uid="{FB0E618F-64CC-4D7F-8B2E-50012418FBE9}"/>
    <cellStyle name="40% - Accent4 2 2 2 2 2 4 2" xfId="7452" xr:uid="{BE17392A-9BB0-4838-B926-E7DBF858DF53}"/>
    <cellStyle name="40% - Accent4 2 2 2 2 2 5" xfId="4145" xr:uid="{4CFFFA68-3D99-497F-82D7-425E357B45D7}"/>
    <cellStyle name="40% - Accent4 2 2 2 2 2 5 2" xfId="8304" xr:uid="{298E28CB-95D3-4D31-A59D-1F5599F3FE4F}"/>
    <cellStyle name="40% - Accent4 2 2 2 2 2 6" xfId="4975" xr:uid="{E5D8FEFC-F569-4F32-87A4-0D67AF952278}"/>
    <cellStyle name="40% - Accent4 2 2 2 2 2 7" xfId="9151" xr:uid="{2B39B773-FADC-40E8-A261-37636855F282}"/>
    <cellStyle name="40% - Accent4 2 2 2 2 3" xfId="1252" xr:uid="{57AEDE4C-E885-41DD-BE47-0A073D335502}"/>
    <cellStyle name="40% - Accent4 2 2 2 2 3 2" xfId="5384" xr:uid="{CD2811C7-8B8B-4C3B-9AA4-88654529ECD3}"/>
    <cellStyle name="40% - Accent4 2 2 2 2 4" xfId="2080" xr:uid="{1DCF0E8A-30EB-40CE-B8AD-4C6A56193A21}"/>
    <cellStyle name="40% - Accent4 2 2 2 2 4 2" xfId="6211" xr:uid="{FDAC402C-D8A7-4331-8868-3F6CBD0A1DD8}"/>
    <cellStyle name="40% - Accent4 2 2 2 2 5" xfId="2904" xr:uid="{A993293C-14CB-4AEB-941B-743FCDE0A38B}"/>
    <cellStyle name="40% - Accent4 2 2 2 2 5 2" xfId="7035" xr:uid="{A643BF5F-0C40-4E7F-8F90-2A8380CB7EDF}"/>
    <cellStyle name="40% - Accent4 2 2 2 2 6" xfId="3728" xr:uid="{6F875820-BFEB-42BA-9AB8-09A1F2301CB5}"/>
    <cellStyle name="40% - Accent4 2 2 2 2 6 2" xfId="7887" xr:uid="{A0F58E9C-3A4E-431F-A6A3-713E404E216A}"/>
    <cellStyle name="40% - Accent4 2 2 2 2 7" xfId="4558" xr:uid="{097FAFA9-68F4-4A03-8CFE-C1C446EAC56B}"/>
    <cellStyle name="40% - Accent4 2 2 2 2 8" xfId="8734" xr:uid="{97127900-F723-424A-8714-DD616CF7E5B2}"/>
    <cellStyle name="40% - Accent4 2 2 2 3" xfId="635" xr:uid="{00000000-0005-0000-0000-00003F020000}"/>
    <cellStyle name="40% - Accent4 2 2 2 3 2" xfId="1461" xr:uid="{008C2FEE-E158-4605-AD05-AF3AF269F2D0}"/>
    <cellStyle name="40% - Accent4 2 2 2 3 2 2" xfId="5593" xr:uid="{21D59DB6-98FA-434C-B687-32C0C7F586D1}"/>
    <cellStyle name="40% - Accent4 2 2 2 3 3" xfId="2289" xr:uid="{A179B41D-1AE8-4959-95E2-23F2EC90AB0B}"/>
    <cellStyle name="40% - Accent4 2 2 2 3 3 2" xfId="6420" xr:uid="{5226EBC8-2BD8-4FD1-B295-1CFC652EC1F3}"/>
    <cellStyle name="40% - Accent4 2 2 2 3 4" xfId="3113" xr:uid="{B5594B2E-60E9-4E1A-988C-CCE88CB90F26}"/>
    <cellStyle name="40% - Accent4 2 2 2 3 4 2" xfId="7244" xr:uid="{314CF363-1AEF-499C-9B1B-BA4EC7D8758E}"/>
    <cellStyle name="40% - Accent4 2 2 2 3 5" xfId="3937" xr:uid="{A5805615-1C0B-4244-A9AC-6644E94A4CAA}"/>
    <cellStyle name="40% - Accent4 2 2 2 3 5 2" xfId="8096" xr:uid="{69832A24-BCE3-462E-8D10-5B9E35003F3F}"/>
    <cellStyle name="40% - Accent4 2 2 2 3 6" xfId="4767" xr:uid="{E2792846-01A5-4CEA-BFB5-10ABAF12935D}"/>
    <cellStyle name="40% - Accent4 2 2 2 3 7" xfId="8943" xr:uid="{310B860A-BA24-4469-B1F2-59D60DA6C8AC}"/>
    <cellStyle name="40% - Accent4 2 2 2 4" xfId="1043" xr:uid="{90E2DDB2-1E65-44A3-AE21-07700426DAE2}"/>
    <cellStyle name="40% - Accent4 2 2 2 4 2" xfId="5175" xr:uid="{70388340-3C8E-4CDF-A471-5959DCBDAFBB}"/>
    <cellStyle name="40% - Accent4 2 2 2 5" xfId="1871" xr:uid="{EAFE5A7E-B8BA-4F61-8DEB-46948C71C1DC}"/>
    <cellStyle name="40% - Accent4 2 2 2 5 2" xfId="6002" xr:uid="{D57897E5-9B20-4007-A39C-5455732A667B}"/>
    <cellStyle name="40% - Accent4 2 2 2 6" xfId="2695" xr:uid="{4EDFB017-F9A8-4E9E-B1E2-D38AC9AA8B70}"/>
    <cellStyle name="40% - Accent4 2 2 2 6 2" xfId="6826" xr:uid="{7387D5EC-41FB-4E8D-8E26-5ECEF6F7D2D3}"/>
    <cellStyle name="40% - Accent4 2 2 2 7" xfId="3519" xr:uid="{8E29864C-C38E-449A-A17E-AD2A6A36C05D}"/>
    <cellStyle name="40% - Accent4 2 2 2 7 2" xfId="7678" xr:uid="{F8D8C85E-779A-416F-B01D-B3F3CCDA9F21}"/>
    <cellStyle name="40% - Accent4 2 2 2 8" xfId="4349" xr:uid="{06613412-0DD5-4AB7-B8CC-059CDFCF36FD}"/>
    <cellStyle name="40% - Accent4 2 2 2 9" xfId="8525" xr:uid="{F9134AD3-285F-4B17-B4E7-2DB800A49A77}"/>
    <cellStyle name="40% - Accent4 2 2 3" xfId="322" xr:uid="{00000000-0005-0000-0000-000040020000}"/>
    <cellStyle name="40% - Accent4 2 2 3 2" xfId="739" xr:uid="{00000000-0005-0000-0000-000041020000}"/>
    <cellStyle name="40% - Accent4 2 2 3 2 2" xfId="1565" xr:uid="{3BBC0C69-4CCA-4BB4-B366-C502C35F03BC}"/>
    <cellStyle name="40% - Accent4 2 2 3 2 2 2" xfId="5697" xr:uid="{009C0A90-78BE-4944-B39B-06E64AC61BF9}"/>
    <cellStyle name="40% - Accent4 2 2 3 2 3" xfId="2393" xr:uid="{7C716A46-8744-409D-A570-EA9344338459}"/>
    <cellStyle name="40% - Accent4 2 2 3 2 3 2" xfId="6524" xr:uid="{DF65C172-25BD-4847-8C8C-5AC110381F23}"/>
    <cellStyle name="40% - Accent4 2 2 3 2 4" xfId="3217" xr:uid="{AADFBB49-9AD2-4577-885C-13D09FB8C92A}"/>
    <cellStyle name="40% - Accent4 2 2 3 2 4 2" xfId="7348" xr:uid="{B0B7E8CF-8B53-4479-886B-245ABC5703AD}"/>
    <cellStyle name="40% - Accent4 2 2 3 2 5" xfId="4041" xr:uid="{6631209B-0FED-4A69-8501-3040B67BC34E}"/>
    <cellStyle name="40% - Accent4 2 2 3 2 5 2" xfId="8200" xr:uid="{A3D1755B-0150-46B7-AE27-9F8DDD118C3D}"/>
    <cellStyle name="40% - Accent4 2 2 3 2 6" xfId="4871" xr:uid="{7F3F82C6-F8F4-406B-A6EC-B0B23F3BE710}"/>
    <cellStyle name="40% - Accent4 2 2 3 2 7" xfId="9047" xr:uid="{13D0ECA1-D616-4685-AC87-B42A3E51D9D8}"/>
    <cellStyle name="40% - Accent4 2 2 3 3" xfId="1148" xr:uid="{9CBE3CD8-0BCC-4E98-A26C-9ECD3DF052FC}"/>
    <cellStyle name="40% - Accent4 2 2 3 3 2" xfId="5280" xr:uid="{D2CD5CD2-3F26-44F2-B79F-BAE4ABE1952F}"/>
    <cellStyle name="40% - Accent4 2 2 3 4" xfId="1976" xr:uid="{D7A78D23-8E90-40C3-A4CF-6BB32890DBE7}"/>
    <cellStyle name="40% - Accent4 2 2 3 4 2" xfId="6107" xr:uid="{27468493-2199-4627-8E06-DE64973A31AD}"/>
    <cellStyle name="40% - Accent4 2 2 3 5" xfId="2800" xr:uid="{82662E8C-456B-40DD-9B9B-B8C662D60910}"/>
    <cellStyle name="40% - Accent4 2 2 3 5 2" xfId="6931" xr:uid="{3ED3607F-D60A-4465-98E4-329578B408A4}"/>
    <cellStyle name="40% - Accent4 2 2 3 6" xfId="3624" xr:uid="{72BC4C43-816C-4911-8CD1-E462DCD91B7A}"/>
    <cellStyle name="40% - Accent4 2 2 3 6 2" xfId="7783" xr:uid="{6B7A08CF-3219-42D5-B46B-148B56967FA2}"/>
    <cellStyle name="40% - Accent4 2 2 3 7" xfId="4454" xr:uid="{9F8FFBB2-3030-4EDB-9F1E-60C2EF95187F}"/>
    <cellStyle name="40% - Accent4 2 2 3 8" xfId="8630" xr:uid="{FEE5413C-4637-457E-9D88-6A2F563FBB06}"/>
    <cellStyle name="40% - Accent4 2 2 4" xfId="531" xr:uid="{00000000-0005-0000-0000-000042020000}"/>
    <cellStyle name="40% - Accent4 2 2 4 2" xfId="1357" xr:uid="{4DA6F600-A639-472A-8093-C9AFCBA46869}"/>
    <cellStyle name="40% - Accent4 2 2 4 2 2" xfId="5489" xr:uid="{9B730220-863B-46CA-B42E-FE7C9B5288A1}"/>
    <cellStyle name="40% - Accent4 2 2 4 3" xfId="2185" xr:uid="{B4ADDC2E-9659-41AC-AEAE-27C9AFEF5EFD}"/>
    <cellStyle name="40% - Accent4 2 2 4 3 2" xfId="6316" xr:uid="{72331ED3-7C50-4EE7-8DB0-274A58CFC9EA}"/>
    <cellStyle name="40% - Accent4 2 2 4 4" xfId="3009" xr:uid="{A967B404-D362-4CAE-BC67-6B3A29572E71}"/>
    <cellStyle name="40% - Accent4 2 2 4 4 2" xfId="7140" xr:uid="{AF934869-87DA-4450-9FF7-4EF4D03935C2}"/>
    <cellStyle name="40% - Accent4 2 2 4 5" xfId="3833" xr:uid="{E237FB7D-A46C-476D-B8DF-29C151A62D15}"/>
    <cellStyle name="40% - Accent4 2 2 4 5 2" xfId="7992" xr:uid="{5D683894-3CC5-4C2B-B1D2-60F762887998}"/>
    <cellStyle name="40% - Accent4 2 2 4 6" xfId="4663" xr:uid="{822F87E7-658A-4369-A8BC-E4C4890EE8F4}"/>
    <cellStyle name="40% - Accent4 2 2 4 7" xfId="8839" xr:uid="{051F5A76-6850-4754-8FFF-B70E347AA5D3}"/>
    <cellStyle name="40% - Accent4 2 2 5" xfId="938" xr:uid="{1B1FFC45-CFB3-4C2B-95AA-EA619CF17C22}"/>
    <cellStyle name="40% - Accent4 2 2 5 2" xfId="5070" xr:uid="{273C31E4-6D79-4C19-8677-1B2E930A7945}"/>
    <cellStyle name="40% - Accent4 2 2 6" xfId="1766" xr:uid="{6896737D-4E74-407C-AE19-BFAFB9F41048}"/>
    <cellStyle name="40% - Accent4 2 2 6 2" xfId="5897" xr:uid="{EFC32D06-06AD-4431-A587-7716DEDF97B6}"/>
    <cellStyle name="40% - Accent4 2 2 7" xfId="2590" xr:uid="{A6B3D79B-ACA8-4875-9751-2BF4161A24DC}"/>
    <cellStyle name="40% - Accent4 2 2 7 2" xfId="6721" xr:uid="{5E05D06E-3656-4AB4-B63C-1AFC4A29229A}"/>
    <cellStyle name="40% - Accent4 2 2 8" xfId="3414" xr:uid="{5B0E6B38-912F-4994-A017-9701D4297F10}"/>
    <cellStyle name="40% - Accent4 2 2 8 2" xfId="7573" xr:uid="{408FBB4C-7FF4-47D1-BBB9-FAF944C8A3A6}"/>
    <cellStyle name="40% - Accent4 2 2 9" xfId="4244" xr:uid="{36E24F61-35F9-4F74-8D9E-3E289CA6E36C}"/>
    <cellStyle name="40% - Accent4 2 3" xfId="165" xr:uid="{00000000-0005-0000-0000-000043020000}"/>
    <cellStyle name="40% - Accent4 2 3 2" xfId="374" xr:uid="{00000000-0005-0000-0000-000044020000}"/>
    <cellStyle name="40% - Accent4 2 3 2 2" xfId="791" xr:uid="{00000000-0005-0000-0000-000045020000}"/>
    <cellStyle name="40% - Accent4 2 3 2 2 2" xfId="1617" xr:uid="{12911600-774E-4FAF-9AA9-88D96987F54B}"/>
    <cellStyle name="40% - Accent4 2 3 2 2 2 2" xfId="5749" xr:uid="{72C1C18D-DFB0-458A-A258-5ED496FCAF23}"/>
    <cellStyle name="40% - Accent4 2 3 2 2 3" xfId="2445" xr:uid="{3BDA6995-BC70-427D-BCB0-F973DFA62C01}"/>
    <cellStyle name="40% - Accent4 2 3 2 2 3 2" xfId="6576" xr:uid="{8C220D59-5F74-424D-8656-FFE7A67C0EA1}"/>
    <cellStyle name="40% - Accent4 2 3 2 2 4" xfId="3269" xr:uid="{58BDB4AB-EF8D-4B27-96AF-68229C19E03A}"/>
    <cellStyle name="40% - Accent4 2 3 2 2 4 2" xfId="7400" xr:uid="{FACEDE2A-C877-416F-AEDC-C0F9CFAAEC47}"/>
    <cellStyle name="40% - Accent4 2 3 2 2 5" xfId="4093" xr:uid="{A604F143-8D35-4620-82B2-892475A59024}"/>
    <cellStyle name="40% - Accent4 2 3 2 2 5 2" xfId="8252" xr:uid="{A9FDC5EA-74A5-416E-9C08-318AFB1FA75D}"/>
    <cellStyle name="40% - Accent4 2 3 2 2 6" xfId="4923" xr:uid="{49923BE5-3AB4-4F50-90FD-77630DE8CC08}"/>
    <cellStyle name="40% - Accent4 2 3 2 2 7" xfId="9099" xr:uid="{30AB0FE1-FA84-4AF7-831C-C11354F67EFF}"/>
    <cellStyle name="40% - Accent4 2 3 2 3" xfId="1200" xr:uid="{0780252F-9C21-4195-BD7D-C61A41211A10}"/>
    <cellStyle name="40% - Accent4 2 3 2 3 2" xfId="5332" xr:uid="{C13A0992-4312-4518-9CC0-59164F28DEAD}"/>
    <cellStyle name="40% - Accent4 2 3 2 4" xfId="2028" xr:uid="{254184CC-10B7-4FE3-8C60-0BAB89AAE231}"/>
    <cellStyle name="40% - Accent4 2 3 2 4 2" xfId="6159" xr:uid="{C6B86EAE-E027-4B19-853D-649D50214CFC}"/>
    <cellStyle name="40% - Accent4 2 3 2 5" xfId="2852" xr:uid="{BE3DD3B2-4845-43B3-BB96-E2B3C4BB762B}"/>
    <cellStyle name="40% - Accent4 2 3 2 5 2" xfId="6983" xr:uid="{D0EC9BA8-CBB7-45C0-A67B-E330C793FD38}"/>
    <cellStyle name="40% - Accent4 2 3 2 6" xfId="3676" xr:uid="{52B2EF8E-6F7C-41E4-BBC7-76AB78CE6A13}"/>
    <cellStyle name="40% - Accent4 2 3 2 6 2" xfId="7835" xr:uid="{03FBF94D-2D4E-41EC-A652-978CBE7C7FE0}"/>
    <cellStyle name="40% - Accent4 2 3 2 7" xfId="4506" xr:uid="{5FBB9845-E2C7-4F5B-9CA8-70BB188423D7}"/>
    <cellStyle name="40% - Accent4 2 3 2 8" xfId="8682" xr:uid="{ACD63CEB-DC80-4D0F-BFF6-3EFBA4F9C0CA}"/>
    <cellStyle name="40% - Accent4 2 3 3" xfId="583" xr:uid="{00000000-0005-0000-0000-000046020000}"/>
    <cellStyle name="40% - Accent4 2 3 3 2" xfId="1409" xr:uid="{2024F258-0DE8-43D3-97A8-A0F4BFF656A6}"/>
    <cellStyle name="40% - Accent4 2 3 3 2 2" xfId="5541" xr:uid="{27759601-49E1-4C5A-8DBE-8D5862012F19}"/>
    <cellStyle name="40% - Accent4 2 3 3 3" xfId="2237" xr:uid="{0CBB9E64-6AF3-429B-8893-CC02039C475A}"/>
    <cellStyle name="40% - Accent4 2 3 3 3 2" xfId="6368" xr:uid="{8E806387-C8A9-466E-B1C4-021BE815F9DA}"/>
    <cellStyle name="40% - Accent4 2 3 3 4" xfId="3061" xr:uid="{C34D9FEB-DE26-4E7C-90A9-63501183EE8A}"/>
    <cellStyle name="40% - Accent4 2 3 3 4 2" xfId="7192" xr:uid="{E861C361-F786-4BAE-9A1A-E87ABAD2C1A7}"/>
    <cellStyle name="40% - Accent4 2 3 3 5" xfId="3885" xr:uid="{067A5F80-B389-4C08-81E5-2136900D8B57}"/>
    <cellStyle name="40% - Accent4 2 3 3 5 2" xfId="8044" xr:uid="{0BF94922-F9F6-4507-987E-94174B22F4CE}"/>
    <cellStyle name="40% - Accent4 2 3 3 6" xfId="4715" xr:uid="{A3649C7D-B241-409B-893A-C0FA107673C5}"/>
    <cellStyle name="40% - Accent4 2 3 3 7" xfId="8891" xr:uid="{11C713BE-8255-466E-BB05-24F56B8EDC80}"/>
    <cellStyle name="40% - Accent4 2 3 4" xfId="991" xr:uid="{E8B212E8-5130-4429-ADDC-6AB71F74E001}"/>
    <cellStyle name="40% - Accent4 2 3 4 2" xfId="5123" xr:uid="{1D404A9F-8005-463C-BCBD-4F029D6E28A1}"/>
    <cellStyle name="40% - Accent4 2 3 5" xfId="1819" xr:uid="{0F2D0847-8561-48DF-8539-E3026FA39203}"/>
    <cellStyle name="40% - Accent4 2 3 5 2" xfId="5950" xr:uid="{FF532B84-2C16-45CC-8291-60D149298DA3}"/>
    <cellStyle name="40% - Accent4 2 3 6" xfId="2643" xr:uid="{779038CE-25E7-4443-992B-0C6FDEEBBC4A}"/>
    <cellStyle name="40% - Accent4 2 3 6 2" xfId="6774" xr:uid="{FD05C31A-7C2A-4C93-B4FC-63CA69588674}"/>
    <cellStyle name="40% - Accent4 2 3 7" xfId="3467" xr:uid="{97A7E287-474F-4266-BF7B-A1FBBC1C418A}"/>
    <cellStyle name="40% - Accent4 2 3 7 2" xfId="7626" xr:uid="{27C86FB1-AD3D-4E40-BC2E-508A20800B7D}"/>
    <cellStyle name="40% - Accent4 2 3 8" xfId="4297" xr:uid="{28A06208-7021-451B-AADD-F3154FC648BC}"/>
    <cellStyle name="40% - Accent4 2 3 9" xfId="8473" xr:uid="{1EA4DAD0-7E05-4D75-99AA-248CDD4F6A27}"/>
    <cellStyle name="40% - Accent4 2 4" xfId="270" xr:uid="{00000000-0005-0000-0000-000047020000}"/>
    <cellStyle name="40% - Accent4 2 4 2" xfId="687" xr:uid="{00000000-0005-0000-0000-000048020000}"/>
    <cellStyle name="40% - Accent4 2 4 2 2" xfId="1513" xr:uid="{2B84A6A0-FE1B-43B6-A3E3-B018C77536AB}"/>
    <cellStyle name="40% - Accent4 2 4 2 2 2" xfId="5645" xr:uid="{58B6E1C9-690A-4056-BC28-C2BB218C9A31}"/>
    <cellStyle name="40% - Accent4 2 4 2 3" xfId="2341" xr:uid="{B3E9A86B-46A1-4FC4-9550-A41AE7716E60}"/>
    <cellStyle name="40% - Accent4 2 4 2 3 2" xfId="6472" xr:uid="{9B03C391-141E-4721-8897-26A0544B66FC}"/>
    <cellStyle name="40% - Accent4 2 4 2 4" xfId="3165" xr:uid="{4D1659AB-9E86-4215-A97E-68833F85B23C}"/>
    <cellStyle name="40% - Accent4 2 4 2 4 2" xfId="7296" xr:uid="{37C905C4-6B66-4FDA-92FD-D1F1BECA36D1}"/>
    <cellStyle name="40% - Accent4 2 4 2 5" xfId="3989" xr:uid="{A46C9181-125F-48B8-8605-383C24B266BE}"/>
    <cellStyle name="40% - Accent4 2 4 2 5 2" xfId="8148" xr:uid="{EF840EEF-191D-4039-A008-F35A77EC3268}"/>
    <cellStyle name="40% - Accent4 2 4 2 6" xfId="4819" xr:uid="{1EB3507A-67D6-4E00-B429-4E9B002D93BB}"/>
    <cellStyle name="40% - Accent4 2 4 2 7" xfId="8995" xr:uid="{776BFD65-42B1-4430-8046-7A210C35D10A}"/>
    <cellStyle name="40% - Accent4 2 4 3" xfId="1096" xr:uid="{DA075917-5B6E-4F22-8094-BF0FFD0D5C5B}"/>
    <cellStyle name="40% - Accent4 2 4 3 2" xfId="5228" xr:uid="{E3698394-1BCF-4947-8CB8-98D83DFD7D97}"/>
    <cellStyle name="40% - Accent4 2 4 4" xfId="1924" xr:uid="{BC1305ED-ABEB-48AC-AE1E-2A6DD5D4CAEE}"/>
    <cellStyle name="40% - Accent4 2 4 4 2" xfId="6055" xr:uid="{6AAD6AB1-6365-4CBA-8820-20CA775092BE}"/>
    <cellStyle name="40% - Accent4 2 4 5" xfId="2748" xr:uid="{AD671FA8-E40A-4EE3-B809-3BCB303682FB}"/>
    <cellStyle name="40% - Accent4 2 4 5 2" xfId="6879" xr:uid="{5BA4030D-2C8E-461A-9A0D-D07BFDA4ECCD}"/>
    <cellStyle name="40% - Accent4 2 4 6" xfId="3572" xr:uid="{AA4700DF-6ACA-4F89-9469-741545BA0C5F}"/>
    <cellStyle name="40% - Accent4 2 4 6 2" xfId="7731" xr:uid="{DFC8F94E-F5DB-4ED8-87F9-B4E162A903DB}"/>
    <cellStyle name="40% - Accent4 2 4 7" xfId="4402" xr:uid="{73BACA03-9DF2-42C2-BE45-0E3D047297FD}"/>
    <cellStyle name="40% - Accent4 2 4 8" xfId="8578" xr:uid="{E1DB3DE5-5018-4091-B3FD-B8D2EE69F30B}"/>
    <cellStyle name="40% - Accent4 2 5" xfId="479" xr:uid="{00000000-0005-0000-0000-000049020000}"/>
    <cellStyle name="40% - Accent4 2 5 2" xfId="1305" xr:uid="{281003AA-47B5-4027-A141-C0585A8AD7DA}"/>
    <cellStyle name="40% - Accent4 2 5 2 2" xfId="5437" xr:uid="{CD8A87A7-C0E0-4B71-8D30-6520C5DB5AD5}"/>
    <cellStyle name="40% - Accent4 2 5 3" xfId="2133" xr:uid="{4FD7B327-DF15-432E-BF89-A20D9EDC3B46}"/>
    <cellStyle name="40% - Accent4 2 5 3 2" xfId="6264" xr:uid="{2BFA2671-CF8B-4496-BF02-A63FC86F9C28}"/>
    <cellStyle name="40% - Accent4 2 5 4" xfId="2957" xr:uid="{5E462E48-E361-49FC-83F5-57DDBAB20ACF}"/>
    <cellStyle name="40% - Accent4 2 5 4 2" xfId="7088" xr:uid="{FD593293-0063-40F3-B42C-B33F3FFC6C8C}"/>
    <cellStyle name="40% - Accent4 2 5 5" xfId="3781" xr:uid="{EF456B61-3FAF-4870-97AB-F0FE7B971583}"/>
    <cellStyle name="40% - Accent4 2 5 5 2" xfId="7940" xr:uid="{406A96BD-66F8-43DE-BD59-EBDC735D0739}"/>
    <cellStyle name="40% - Accent4 2 5 6" xfId="4611" xr:uid="{6E3D0420-FD35-4503-A3D1-A67FAE492A52}"/>
    <cellStyle name="40% - Accent4 2 5 7" xfId="8787" xr:uid="{2E68CB7C-A165-457D-BC0A-2F43FC9CCFAE}"/>
    <cellStyle name="40% - Accent4 2 6" xfId="885" xr:uid="{C2B9FFB9-0785-4A27-82BC-F349A239FD8A}"/>
    <cellStyle name="40% - Accent4 2 6 2" xfId="5017" xr:uid="{A1E11653-A29A-49C4-870E-6B10ED800FAB}"/>
    <cellStyle name="40% - Accent4 2 7" xfId="1713" xr:uid="{A779C282-11D5-4D3E-95F2-B3B8294D5942}"/>
    <cellStyle name="40% - Accent4 2 7 2" xfId="5844" xr:uid="{FFF03C68-95E7-4CE6-93F1-4FE48930F6C3}"/>
    <cellStyle name="40% - Accent4 2 8" xfId="2537" xr:uid="{D689241F-CE3B-4A40-840B-415A5DD764AF}"/>
    <cellStyle name="40% - Accent4 2 8 2" xfId="6668" xr:uid="{9817FAC4-F146-46B2-A422-3486F6071800}"/>
    <cellStyle name="40% - Accent4 2 9" xfId="3361" xr:uid="{95B83850-4A56-4787-85A1-495ED3D4E63C}"/>
    <cellStyle name="40% - Accent4 2 9 2" xfId="7520" xr:uid="{148DF91B-DEBE-49D3-8C1E-DC30EA4FC572}"/>
    <cellStyle name="40% - Accent4 3" xfId="72" xr:uid="{00000000-0005-0000-0000-00004A020000}"/>
    <cellStyle name="40% - Accent4 3 10" xfId="4204" xr:uid="{9D2E43AD-9994-455E-9801-D1794E790AF2}"/>
    <cellStyle name="40% - Accent4 3 11" xfId="8380" xr:uid="{C00D80D8-90AF-4F91-8044-192ED4467606}"/>
    <cellStyle name="40% - Accent4 3 2" xfId="125" xr:uid="{00000000-0005-0000-0000-00004B020000}"/>
    <cellStyle name="40% - Accent4 3 2 10" xfId="8433" xr:uid="{D819E518-1E1A-45F1-A91C-5198AA0D6BE9}"/>
    <cellStyle name="40% - Accent4 3 2 2" xfId="230" xr:uid="{00000000-0005-0000-0000-00004C020000}"/>
    <cellStyle name="40% - Accent4 3 2 2 2" xfId="439" xr:uid="{00000000-0005-0000-0000-00004D020000}"/>
    <cellStyle name="40% - Accent4 3 2 2 2 2" xfId="856" xr:uid="{00000000-0005-0000-0000-00004E020000}"/>
    <cellStyle name="40% - Accent4 3 2 2 2 2 2" xfId="1682" xr:uid="{9CCAD123-C72A-44C4-9797-4ECEE9363035}"/>
    <cellStyle name="40% - Accent4 3 2 2 2 2 2 2" xfId="5814" xr:uid="{B5CA6D7A-63A6-4219-8EBB-7965AB559767}"/>
    <cellStyle name="40% - Accent4 3 2 2 2 2 3" xfId="2510" xr:uid="{226A90C2-2D4C-4E5F-BD08-DC139DE95008}"/>
    <cellStyle name="40% - Accent4 3 2 2 2 2 3 2" xfId="6641" xr:uid="{A8238793-D9B6-4B8F-9582-73A64943C34E}"/>
    <cellStyle name="40% - Accent4 3 2 2 2 2 4" xfId="3334" xr:uid="{1B963CF7-B29A-4DDB-8CBF-F4AF4820AC50}"/>
    <cellStyle name="40% - Accent4 3 2 2 2 2 4 2" xfId="7465" xr:uid="{2AFF2E40-334D-4FE4-ADD1-1E92C64407F9}"/>
    <cellStyle name="40% - Accent4 3 2 2 2 2 5" xfId="4158" xr:uid="{FCF647C6-3710-45AC-85E1-74201F0CD280}"/>
    <cellStyle name="40% - Accent4 3 2 2 2 2 5 2" xfId="8317" xr:uid="{4F58FAC1-3013-4B47-BFAA-1F82F3A98E56}"/>
    <cellStyle name="40% - Accent4 3 2 2 2 2 6" xfId="4988" xr:uid="{18DD978E-CCF3-4306-9B9F-8A1AEF8D9CCE}"/>
    <cellStyle name="40% - Accent4 3 2 2 2 2 7" xfId="9164" xr:uid="{C92DD5BD-0B7E-4FE4-927D-5BC3DACEBCB2}"/>
    <cellStyle name="40% - Accent4 3 2 2 2 3" xfId="1265" xr:uid="{17AB946D-ABCD-4426-8A2D-C214CCBF6E48}"/>
    <cellStyle name="40% - Accent4 3 2 2 2 3 2" xfId="5397" xr:uid="{DA65086B-4240-4CB4-AD6F-F96116D983E1}"/>
    <cellStyle name="40% - Accent4 3 2 2 2 4" xfId="2093" xr:uid="{E6716AC5-0D8B-4E2B-B863-0BAF4CD7855A}"/>
    <cellStyle name="40% - Accent4 3 2 2 2 4 2" xfId="6224" xr:uid="{A7B68B2B-3045-4A83-968A-6988175A5832}"/>
    <cellStyle name="40% - Accent4 3 2 2 2 5" xfId="2917" xr:uid="{7CDFE4B9-047D-4029-80D8-FF7AE55C33F9}"/>
    <cellStyle name="40% - Accent4 3 2 2 2 5 2" xfId="7048" xr:uid="{C4747B6F-0872-46CB-9A80-28EC5F6460B3}"/>
    <cellStyle name="40% - Accent4 3 2 2 2 6" xfId="3741" xr:uid="{7D238E2D-A31B-4B02-8900-4EC6DBAAC7F4}"/>
    <cellStyle name="40% - Accent4 3 2 2 2 6 2" xfId="7900" xr:uid="{B611E47E-6081-49AD-9ECA-9CE30611CD7B}"/>
    <cellStyle name="40% - Accent4 3 2 2 2 7" xfId="4571" xr:uid="{FF32454C-872E-48DA-B53D-ADC3BFC2F476}"/>
    <cellStyle name="40% - Accent4 3 2 2 2 8" xfId="8747" xr:uid="{479F444E-F240-4DF1-AE59-FD901D020931}"/>
    <cellStyle name="40% - Accent4 3 2 2 3" xfId="648" xr:uid="{00000000-0005-0000-0000-00004F020000}"/>
    <cellStyle name="40% - Accent4 3 2 2 3 2" xfId="1474" xr:uid="{18B3C32C-DF24-427C-AEC2-FF2F4D561EE8}"/>
    <cellStyle name="40% - Accent4 3 2 2 3 2 2" xfId="5606" xr:uid="{E1085A6F-F544-4C66-98C3-3C45FD2AB7B2}"/>
    <cellStyle name="40% - Accent4 3 2 2 3 3" xfId="2302" xr:uid="{C8DE9609-ABE3-48BC-BCC6-16500415CB6F}"/>
    <cellStyle name="40% - Accent4 3 2 2 3 3 2" xfId="6433" xr:uid="{6E5A8A6B-51EB-4C96-97D8-FEAFED7A790F}"/>
    <cellStyle name="40% - Accent4 3 2 2 3 4" xfId="3126" xr:uid="{AA26ADB0-90B6-44C3-ABE1-4074DB9BC591}"/>
    <cellStyle name="40% - Accent4 3 2 2 3 4 2" xfId="7257" xr:uid="{9A922B71-D64A-4AD5-86E1-6B6E7A8D2F5A}"/>
    <cellStyle name="40% - Accent4 3 2 2 3 5" xfId="3950" xr:uid="{D146DFC5-36CF-43BC-8CD3-77EFA07DA98E}"/>
    <cellStyle name="40% - Accent4 3 2 2 3 5 2" xfId="8109" xr:uid="{43E97DC1-9E92-4AD5-B9B1-BF6464D62415}"/>
    <cellStyle name="40% - Accent4 3 2 2 3 6" xfId="4780" xr:uid="{2287AEFB-83A4-4287-989E-4A3B0A0E9213}"/>
    <cellStyle name="40% - Accent4 3 2 2 3 7" xfId="8956" xr:uid="{FD435C10-2A82-41D2-8855-8BD7E0DD5615}"/>
    <cellStyle name="40% - Accent4 3 2 2 4" xfId="1056" xr:uid="{F225DCD3-F6C2-461C-ACAD-4D6528DFDEA9}"/>
    <cellStyle name="40% - Accent4 3 2 2 4 2" xfId="5188" xr:uid="{87246276-2D0E-4029-949D-1ABF0AC31254}"/>
    <cellStyle name="40% - Accent4 3 2 2 5" xfId="1884" xr:uid="{6E732410-7D66-415D-AF2D-FE7DC0A926B0}"/>
    <cellStyle name="40% - Accent4 3 2 2 5 2" xfId="6015" xr:uid="{BAFDB8F1-419B-494E-B7E1-DC31BB776E9A}"/>
    <cellStyle name="40% - Accent4 3 2 2 6" xfId="2708" xr:uid="{6F4FAA57-A5DF-4C8D-ACF9-28C0B721D18C}"/>
    <cellStyle name="40% - Accent4 3 2 2 6 2" xfId="6839" xr:uid="{1797DF74-46F1-4565-86C7-79B4492D1FD2}"/>
    <cellStyle name="40% - Accent4 3 2 2 7" xfId="3532" xr:uid="{3D999C3C-F75D-4FF8-8145-D835572A512F}"/>
    <cellStyle name="40% - Accent4 3 2 2 7 2" xfId="7691" xr:uid="{D6DE1D52-2DE7-441A-A104-A83EB1B769D5}"/>
    <cellStyle name="40% - Accent4 3 2 2 8" xfId="4362" xr:uid="{C32DE974-2B06-4913-8AE5-8FD542C258A4}"/>
    <cellStyle name="40% - Accent4 3 2 2 9" xfId="8538" xr:uid="{64A45D2D-4AA5-43D8-9986-C9C4B0248C1A}"/>
    <cellStyle name="40% - Accent4 3 2 3" xfId="335" xr:uid="{00000000-0005-0000-0000-000050020000}"/>
    <cellStyle name="40% - Accent4 3 2 3 2" xfId="752" xr:uid="{00000000-0005-0000-0000-000051020000}"/>
    <cellStyle name="40% - Accent4 3 2 3 2 2" xfId="1578" xr:uid="{884FB93B-5A2F-4C99-8FE0-B240E096559D}"/>
    <cellStyle name="40% - Accent4 3 2 3 2 2 2" xfId="5710" xr:uid="{DBD07CA9-8566-4663-8875-F8EA7E577299}"/>
    <cellStyle name="40% - Accent4 3 2 3 2 3" xfId="2406" xr:uid="{FFE7F70F-4C9A-4E55-9C56-4EBF90E11E25}"/>
    <cellStyle name="40% - Accent4 3 2 3 2 3 2" xfId="6537" xr:uid="{EF91C091-71AF-4DEA-A952-7A112A7625A5}"/>
    <cellStyle name="40% - Accent4 3 2 3 2 4" xfId="3230" xr:uid="{20949F17-2538-4375-9CE3-74C120E014B8}"/>
    <cellStyle name="40% - Accent4 3 2 3 2 4 2" xfId="7361" xr:uid="{622E0C7A-8FF3-47D3-8C70-C73B49A864FB}"/>
    <cellStyle name="40% - Accent4 3 2 3 2 5" xfId="4054" xr:uid="{A5137A97-4FE0-4E97-A4A5-88140C5C449C}"/>
    <cellStyle name="40% - Accent4 3 2 3 2 5 2" xfId="8213" xr:uid="{C78BD554-D8B3-487E-919A-F8FBEED7B542}"/>
    <cellStyle name="40% - Accent4 3 2 3 2 6" xfId="4884" xr:uid="{90B8571D-478E-4223-B33F-AF866FF659A8}"/>
    <cellStyle name="40% - Accent4 3 2 3 2 7" xfId="9060" xr:uid="{ED4B979B-C732-4F2B-A499-EB57D854126C}"/>
    <cellStyle name="40% - Accent4 3 2 3 3" xfId="1161" xr:uid="{DABAF570-4AEB-48C4-BE60-FDC62A7A262D}"/>
    <cellStyle name="40% - Accent4 3 2 3 3 2" xfId="5293" xr:uid="{358E8A80-53BD-44E1-99B4-72FA8CE45E74}"/>
    <cellStyle name="40% - Accent4 3 2 3 4" xfId="1989" xr:uid="{5288DAE4-9BA1-4024-9E5B-33769A2F2DE5}"/>
    <cellStyle name="40% - Accent4 3 2 3 4 2" xfId="6120" xr:uid="{0CA8A4E5-63F6-45C5-88C9-C0DC0986148F}"/>
    <cellStyle name="40% - Accent4 3 2 3 5" xfId="2813" xr:uid="{005B5D26-ECDF-4A54-AA7E-A6B42ADCC0D3}"/>
    <cellStyle name="40% - Accent4 3 2 3 5 2" xfId="6944" xr:uid="{1C360ECD-1A14-4F43-A093-1DD5F264E239}"/>
    <cellStyle name="40% - Accent4 3 2 3 6" xfId="3637" xr:uid="{728EDD99-2E3D-43E3-8870-5110C94D69F1}"/>
    <cellStyle name="40% - Accent4 3 2 3 6 2" xfId="7796" xr:uid="{8DF862EE-85C5-4F12-AB24-F2186420F4DC}"/>
    <cellStyle name="40% - Accent4 3 2 3 7" xfId="4467" xr:uid="{75DE2FD1-3593-4AD2-B3E1-F69401E2723E}"/>
    <cellStyle name="40% - Accent4 3 2 3 8" xfId="8643" xr:uid="{FF5E739C-A4C6-42CD-901F-ACC3B8FF0277}"/>
    <cellStyle name="40% - Accent4 3 2 4" xfId="544" xr:uid="{00000000-0005-0000-0000-000052020000}"/>
    <cellStyle name="40% - Accent4 3 2 4 2" xfId="1370" xr:uid="{C7309C3B-99E7-4B89-863C-E46B247065FD}"/>
    <cellStyle name="40% - Accent4 3 2 4 2 2" xfId="5502" xr:uid="{E5D0F548-9B6D-4311-B8F0-DFC088C656BF}"/>
    <cellStyle name="40% - Accent4 3 2 4 3" xfId="2198" xr:uid="{3BD899B5-D016-48EB-8F21-9659019BC967}"/>
    <cellStyle name="40% - Accent4 3 2 4 3 2" xfId="6329" xr:uid="{76261B2E-375F-42D9-AE5D-0518E443F7D5}"/>
    <cellStyle name="40% - Accent4 3 2 4 4" xfId="3022" xr:uid="{D937AF3F-FFE5-421A-9858-FF5CD782F184}"/>
    <cellStyle name="40% - Accent4 3 2 4 4 2" xfId="7153" xr:uid="{CB87866F-EA3F-4D5B-9A21-5B69548577AB}"/>
    <cellStyle name="40% - Accent4 3 2 4 5" xfId="3846" xr:uid="{336FA7DD-6704-416C-9B39-69F97492240E}"/>
    <cellStyle name="40% - Accent4 3 2 4 5 2" xfId="8005" xr:uid="{EA4CEFAF-7BF7-444D-9146-DB20160BE0F8}"/>
    <cellStyle name="40% - Accent4 3 2 4 6" xfId="4676" xr:uid="{0D3CCAF8-DD76-47B3-A825-1AC3697DAE37}"/>
    <cellStyle name="40% - Accent4 3 2 4 7" xfId="8852" xr:uid="{7779DD1E-A89A-47D7-9072-B80351D772E9}"/>
    <cellStyle name="40% - Accent4 3 2 5" xfId="951" xr:uid="{45C225B7-901F-4782-A05D-94D931FC3BC7}"/>
    <cellStyle name="40% - Accent4 3 2 5 2" xfId="5083" xr:uid="{E761AD24-3F10-4EE7-BBA4-861FD6C5DF11}"/>
    <cellStyle name="40% - Accent4 3 2 6" xfId="1779" xr:uid="{56F21DCE-2614-4649-ADBC-6D7C060AFA8D}"/>
    <cellStyle name="40% - Accent4 3 2 6 2" xfId="5910" xr:uid="{7C1126EB-1B5B-4350-B0C7-D64C880ED5FB}"/>
    <cellStyle name="40% - Accent4 3 2 7" xfId="2603" xr:uid="{ED5E4B08-FA00-4F7A-AB08-E81DBF1B5DCF}"/>
    <cellStyle name="40% - Accent4 3 2 7 2" xfId="6734" xr:uid="{BCBF58F1-980D-491E-A8D3-B2E0000C8CA4}"/>
    <cellStyle name="40% - Accent4 3 2 8" xfId="3427" xr:uid="{5815081F-8D80-4B92-A93D-A6A66111875A}"/>
    <cellStyle name="40% - Accent4 3 2 8 2" xfId="7586" xr:uid="{4705BD0F-E90E-42D8-AF5C-50E341BC4E75}"/>
    <cellStyle name="40% - Accent4 3 2 9" xfId="4257" xr:uid="{2BFAAC8A-D0EC-4B98-80C5-66C38908F51B}"/>
    <cellStyle name="40% - Accent4 3 3" xfId="178" xr:uid="{00000000-0005-0000-0000-000053020000}"/>
    <cellStyle name="40% - Accent4 3 3 2" xfId="387" xr:uid="{00000000-0005-0000-0000-000054020000}"/>
    <cellStyle name="40% - Accent4 3 3 2 2" xfId="804" xr:uid="{00000000-0005-0000-0000-000055020000}"/>
    <cellStyle name="40% - Accent4 3 3 2 2 2" xfId="1630" xr:uid="{E8199C88-4068-4435-B0AF-77ECB43C0B61}"/>
    <cellStyle name="40% - Accent4 3 3 2 2 2 2" xfId="5762" xr:uid="{CFCF226C-EC9A-45AD-BD12-3072ED59A249}"/>
    <cellStyle name="40% - Accent4 3 3 2 2 3" xfId="2458" xr:uid="{9548AA29-8336-4358-8835-A3CB80ACA7BC}"/>
    <cellStyle name="40% - Accent4 3 3 2 2 3 2" xfId="6589" xr:uid="{52CB4244-A2BB-4D08-B334-34D6FAE75CD6}"/>
    <cellStyle name="40% - Accent4 3 3 2 2 4" xfId="3282" xr:uid="{41C651F9-54C2-4E7D-9EAC-BD320EE9A866}"/>
    <cellStyle name="40% - Accent4 3 3 2 2 4 2" xfId="7413" xr:uid="{AD454725-A09C-4E7C-B9FC-B56C00751D58}"/>
    <cellStyle name="40% - Accent4 3 3 2 2 5" xfId="4106" xr:uid="{B932568C-EA5F-4833-B826-4D853F93DA06}"/>
    <cellStyle name="40% - Accent4 3 3 2 2 5 2" xfId="8265" xr:uid="{C222D7E4-C0A6-4F67-BB02-C1888AFAC268}"/>
    <cellStyle name="40% - Accent4 3 3 2 2 6" xfId="4936" xr:uid="{5668077E-A01E-4B33-ADB8-E00FF99DA460}"/>
    <cellStyle name="40% - Accent4 3 3 2 2 7" xfId="9112" xr:uid="{54166449-632F-4C42-9847-7A2F1BB8B479}"/>
    <cellStyle name="40% - Accent4 3 3 2 3" xfId="1213" xr:uid="{95D962E2-8C75-44E8-801F-79BE765E3F41}"/>
    <cellStyle name="40% - Accent4 3 3 2 3 2" xfId="5345" xr:uid="{0AA9DE72-3E02-49AE-BB5F-B1187415A854}"/>
    <cellStyle name="40% - Accent4 3 3 2 4" xfId="2041" xr:uid="{B072C2B7-2375-4959-9136-65461576E068}"/>
    <cellStyle name="40% - Accent4 3 3 2 4 2" xfId="6172" xr:uid="{F10D3476-F067-4359-9328-7734BC9C0D2E}"/>
    <cellStyle name="40% - Accent4 3 3 2 5" xfId="2865" xr:uid="{0547A800-68A6-412B-9AA5-DDF268684E32}"/>
    <cellStyle name="40% - Accent4 3 3 2 5 2" xfId="6996" xr:uid="{CFB6B224-04FC-4E17-852A-E55EAA906462}"/>
    <cellStyle name="40% - Accent4 3 3 2 6" xfId="3689" xr:uid="{19FBB35F-2BF6-431A-BD5F-BAAD3CC9DFCF}"/>
    <cellStyle name="40% - Accent4 3 3 2 6 2" xfId="7848" xr:uid="{B78028B6-76A9-432E-9BD7-65EC55DA3F9B}"/>
    <cellStyle name="40% - Accent4 3 3 2 7" xfId="4519" xr:uid="{350770E7-0E86-4FDE-AA44-D62538055DA9}"/>
    <cellStyle name="40% - Accent4 3 3 2 8" xfId="8695" xr:uid="{63EAD31A-3FCC-4340-9E6D-25FA308FB3AE}"/>
    <cellStyle name="40% - Accent4 3 3 3" xfId="596" xr:uid="{00000000-0005-0000-0000-000056020000}"/>
    <cellStyle name="40% - Accent4 3 3 3 2" xfId="1422" xr:uid="{5EE55AAB-E801-4CCC-8B32-D6666E76CA74}"/>
    <cellStyle name="40% - Accent4 3 3 3 2 2" xfId="5554" xr:uid="{9BC9F1B6-1A9F-4D0E-93E1-650CA12D3373}"/>
    <cellStyle name="40% - Accent4 3 3 3 3" xfId="2250" xr:uid="{D69A916A-3126-4D2D-A41C-EA59B10ABD57}"/>
    <cellStyle name="40% - Accent4 3 3 3 3 2" xfId="6381" xr:uid="{42F260FA-789E-4743-974D-A51E82445E4F}"/>
    <cellStyle name="40% - Accent4 3 3 3 4" xfId="3074" xr:uid="{681EC37D-9390-4215-A473-3B5041631852}"/>
    <cellStyle name="40% - Accent4 3 3 3 4 2" xfId="7205" xr:uid="{4911497C-F511-4158-B61C-97C6E94EE774}"/>
    <cellStyle name="40% - Accent4 3 3 3 5" xfId="3898" xr:uid="{2B787062-7587-4F3E-8A75-59A5B597BC7C}"/>
    <cellStyle name="40% - Accent4 3 3 3 5 2" xfId="8057" xr:uid="{26917328-98F8-4600-AB18-3F8C5B40BE03}"/>
    <cellStyle name="40% - Accent4 3 3 3 6" xfId="4728" xr:uid="{A205EDA1-B604-4FE5-84B6-A31CB3A9F2CC}"/>
    <cellStyle name="40% - Accent4 3 3 3 7" xfId="8904" xr:uid="{D92253EF-C79E-4BA0-86D4-1721B5F08921}"/>
    <cellStyle name="40% - Accent4 3 3 4" xfId="1004" xr:uid="{6EC24B09-131A-45B2-8D4F-D5B4211690F5}"/>
    <cellStyle name="40% - Accent4 3 3 4 2" xfId="5136" xr:uid="{8B143680-35D9-48CD-8820-66A420838EE9}"/>
    <cellStyle name="40% - Accent4 3 3 5" xfId="1832" xr:uid="{DCC124D5-AAF8-4504-AAD9-C28CF1428764}"/>
    <cellStyle name="40% - Accent4 3 3 5 2" xfId="5963" xr:uid="{5620B1DD-EF8E-43F2-929C-80C56CFA1AC7}"/>
    <cellStyle name="40% - Accent4 3 3 6" xfId="2656" xr:uid="{321F3640-BCFA-4291-AA1D-5ED9FDDA0AE1}"/>
    <cellStyle name="40% - Accent4 3 3 6 2" xfId="6787" xr:uid="{B408C54C-FC0E-4D1A-8EF5-3D8975D2F0AE}"/>
    <cellStyle name="40% - Accent4 3 3 7" xfId="3480" xr:uid="{A241796D-FF1E-4053-958C-C550381F1AC1}"/>
    <cellStyle name="40% - Accent4 3 3 7 2" xfId="7639" xr:uid="{9C597A9F-BEDD-4B29-93CA-4B2DDF2B2D59}"/>
    <cellStyle name="40% - Accent4 3 3 8" xfId="4310" xr:uid="{73A4A1C3-B664-4D65-BDE8-55C4277B031C}"/>
    <cellStyle name="40% - Accent4 3 3 9" xfId="8486" xr:uid="{CAA7CF8E-879F-45BB-BEC0-5EC7E93498F6}"/>
    <cellStyle name="40% - Accent4 3 4" xfId="283" xr:uid="{00000000-0005-0000-0000-000057020000}"/>
    <cellStyle name="40% - Accent4 3 4 2" xfId="700" xr:uid="{00000000-0005-0000-0000-000058020000}"/>
    <cellStyle name="40% - Accent4 3 4 2 2" xfId="1526" xr:uid="{29E7CF3C-2C58-4657-BC11-7F28FDFEB79C}"/>
    <cellStyle name="40% - Accent4 3 4 2 2 2" xfId="5658" xr:uid="{F72E4CAB-E630-4620-AF1A-BE02FA474FF2}"/>
    <cellStyle name="40% - Accent4 3 4 2 3" xfId="2354" xr:uid="{70952186-433C-49E6-B4E8-54738C8EAA44}"/>
    <cellStyle name="40% - Accent4 3 4 2 3 2" xfId="6485" xr:uid="{4C552312-AE7D-48C7-A3BF-37D3AFAE9DB0}"/>
    <cellStyle name="40% - Accent4 3 4 2 4" xfId="3178" xr:uid="{17BE6272-1C0F-4294-AF9A-21A9D926E466}"/>
    <cellStyle name="40% - Accent4 3 4 2 4 2" xfId="7309" xr:uid="{7F7C0FA9-57CD-4C0F-9FF7-A362559011C7}"/>
    <cellStyle name="40% - Accent4 3 4 2 5" xfId="4002" xr:uid="{97C28C33-3C9C-48F2-BDED-CB39CBB98EF3}"/>
    <cellStyle name="40% - Accent4 3 4 2 5 2" xfId="8161" xr:uid="{F9F82E15-055F-439C-9510-2CB1B9F675BF}"/>
    <cellStyle name="40% - Accent4 3 4 2 6" xfId="4832" xr:uid="{143FE979-8046-4D67-8BBE-E663B01F4D14}"/>
    <cellStyle name="40% - Accent4 3 4 2 7" xfId="9008" xr:uid="{1FBC244F-8955-4B3A-92F0-6988CB820D67}"/>
    <cellStyle name="40% - Accent4 3 4 3" xfId="1109" xr:uid="{D1F63570-E50A-4158-9028-8698C396A45F}"/>
    <cellStyle name="40% - Accent4 3 4 3 2" xfId="5241" xr:uid="{89FB7F6B-2BFF-4BAE-AEF3-AA0B31C77ED2}"/>
    <cellStyle name="40% - Accent4 3 4 4" xfId="1937" xr:uid="{D3FCB2EF-4ADF-4745-BC60-A75CC3E2EB8A}"/>
    <cellStyle name="40% - Accent4 3 4 4 2" xfId="6068" xr:uid="{AF52097B-1A01-484D-8073-93FB64E9F981}"/>
    <cellStyle name="40% - Accent4 3 4 5" xfId="2761" xr:uid="{9426C406-815A-481E-8D43-EF720584F310}"/>
    <cellStyle name="40% - Accent4 3 4 5 2" xfId="6892" xr:uid="{63ADAE21-2D9D-4879-A366-3906B58244ED}"/>
    <cellStyle name="40% - Accent4 3 4 6" xfId="3585" xr:uid="{C5E7214A-63DB-48C7-809E-BC2B019DF98C}"/>
    <cellStyle name="40% - Accent4 3 4 6 2" xfId="7744" xr:uid="{C0767E9C-55C0-432C-8D34-FC26AB7F85F8}"/>
    <cellStyle name="40% - Accent4 3 4 7" xfId="4415" xr:uid="{C3A303E2-174B-4E73-B753-8F799F2DBD5A}"/>
    <cellStyle name="40% - Accent4 3 4 8" xfId="8591" xr:uid="{48DA1331-286F-4B2A-9DEA-241E04E82995}"/>
    <cellStyle name="40% - Accent4 3 5" xfId="492" xr:uid="{00000000-0005-0000-0000-000059020000}"/>
    <cellStyle name="40% - Accent4 3 5 2" xfId="1318" xr:uid="{1FDA25E3-63FA-45CC-8416-FADF749AB639}"/>
    <cellStyle name="40% - Accent4 3 5 2 2" xfId="5450" xr:uid="{9CBB7A73-1661-4963-9C4E-633F47A51826}"/>
    <cellStyle name="40% - Accent4 3 5 3" xfId="2146" xr:uid="{C594F40C-D2E3-4E67-80E0-18BF862A58E6}"/>
    <cellStyle name="40% - Accent4 3 5 3 2" xfId="6277" xr:uid="{AE5A1BA7-C0F2-4892-97FB-E8A10137668C}"/>
    <cellStyle name="40% - Accent4 3 5 4" xfId="2970" xr:uid="{FDB6F724-703A-4924-8218-4AE5A5F2F1D2}"/>
    <cellStyle name="40% - Accent4 3 5 4 2" xfId="7101" xr:uid="{332D9C32-1CCD-492D-8DCE-BBB8BDADAC4C}"/>
    <cellStyle name="40% - Accent4 3 5 5" xfId="3794" xr:uid="{4B90F4AC-722B-4A18-8FDF-38524AE25B56}"/>
    <cellStyle name="40% - Accent4 3 5 5 2" xfId="7953" xr:uid="{9AE6F2C0-203B-41A4-B7F4-640FD9F4E6A6}"/>
    <cellStyle name="40% - Accent4 3 5 6" xfId="4624" xr:uid="{4CDEE1A0-9C5E-4E97-9CDA-445025941BE8}"/>
    <cellStyle name="40% - Accent4 3 5 7" xfId="8800" xr:uid="{506D43A2-8C61-4B75-A095-E33C25E3BB4B}"/>
    <cellStyle name="40% - Accent4 3 6" xfId="898" xr:uid="{716B8E7A-E17A-4BB0-A015-B932048835AE}"/>
    <cellStyle name="40% - Accent4 3 6 2" xfId="5030" xr:uid="{B4B97959-3FAB-4619-8886-C556D715EB94}"/>
    <cellStyle name="40% - Accent4 3 7" xfId="1726" xr:uid="{DF860F3E-F4EB-4CDA-8F45-12846279B9E9}"/>
    <cellStyle name="40% - Accent4 3 7 2" xfId="5857" xr:uid="{DB512526-741D-42D7-B582-752B9AE569E9}"/>
    <cellStyle name="40% - Accent4 3 8" xfId="2550" xr:uid="{D0E72E2A-7FCE-4A36-AFA3-A7F06C3DB8FE}"/>
    <cellStyle name="40% - Accent4 3 8 2" xfId="6681" xr:uid="{3792696D-8972-4105-B5C0-562B902B66BA}"/>
    <cellStyle name="40% - Accent4 3 9" xfId="3374" xr:uid="{FD9411D7-CD93-4E7B-81E5-7BC3EE1F8616}"/>
    <cellStyle name="40% - Accent4 3 9 2" xfId="7533" xr:uid="{122A3D01-98B6-4A52-8E78-69DE8D2C14EE}"/>
    <cellStyle name="40% - Accent4 4" xfId="85" xr:uid="{00000000-0005-0000-0000-00005A020000}"/>
    <cellStyle name="40% - Accent4 4 10" xfId="8393" xr:uid="{DB16A5CE-CE69-4ED5-9E83-A5DE7480F8BC}"/>
    <cellStyle name="40% - Accent4 4 2" xfId="191" xr:uid="{00000000-0005-0000-0000-00005B020000}"/>
    <cellStyle name="40% - Accent4 4 2 2" xfId="400" xr:uid="{00000000-0005-0000-0000-00005C020000}"/>
    <cellStyle name="40% - Accent4 4 2 2 2" xfId="817" xr:uid="{00000000-0005-0000-0000-00005D020000}"/>
    <cellStyle name="40% - Accent4 4 2 2 2 2" xfId="1643" xr:uid="{90863A70-1497-4988-99D2-45A4649762BB}"/>
    <cellStyle name="40% - Accent4 4 2 2 2 2 2" xfId="5775" xr:uid="{5A6A65FF-FBA5-47B0-908E-7E7B9ACCEB0A}"/>
    <cellStyle name="40% - Accent4 4 2 2 2 3" xfId="2471" xr:uid="{CE0BD778-6F96-428C-AA0C-894D6C971C1B}"/>
    <cellStyle name="40% - Accent4 4 2 2 2 3 2" xfId="6602" xr:uid="{290C98BB-0B4A-461A-B4C1-977CDACFB587}"/>
    <cellStyle name="40% - Accent4 4 2 2 2 4" xfId="3295" xr:uid="{9F39E715-A688-4CB5-9BE8-410DDAE05020}"/>
    <cellStyle name="40% - Accent4 4 2 2 2 4 2" xfId="7426" xr:uid="{138836EB-40CD-4FD3-BE7C-2761640E7556}"/>
    <cellStyle name="40% - Accent4 4 2 2 2 5" xfId="4119" xr:uid="{ABCECB49-37AB-45AA-9BD8-6E3769310308}"/>
    <cellStyle name="40% - Accent4 4 2 2 2 5 2" xfId="8278" xr:uid="{A510FD98-525B-4580-95E5-8F891F7D1449}"/>
    <cellStyle name="40% - Accent4 4 2 2 2 6" xfId="4949" xr:uid="{AC8315AD-D6DA-469B-A7B0-CCA8DD069AF7}"/>
    <cellStyle name="40% - Accent4 4 2 2 2 7" xfId="9125" xr:uid="{8AF1A1E0-0A5F-4931-A9A7-3BAFE31F6B8D}"/>
    <cellStyle name="40% - Accent4 4 2 2 3" xfId="1226" xr:uid="{D7A4341C-C8F9-4739-BEB7-AF0942E0AA89}"/>
    <cellStyle name="40% - Accent4 4 2 2 3 2" xfId="5358" xr:uid="{837A3173-076A-4575-A09A-C0FFE8292C33}"/>
    <cellStyle name="40% - Accent4 4 2 2 4" xfId="2054" xr:uid="{06E5B4A8-6513-46E6-BFDD-48E0CA1ACA10}"/>
    <cellStyle name="40% - Accent4 4 2 2 4 2" xfId="6185" xr:uid="{44027017-3FD2-4596-A4D8-FC051BE495BD}"/>
    <cellStyle name="40% - Accent4 4 2 2 5" xfId="2878" xr:uid="{90E6AA88-8683-4124-A76B-355512D49807}"/>
    <cellStyle name="40% - Accent4 4 2 2 5 2" xfId="7009" xr:uid="{5C1E6F72-E5C8-4C40-A3B0-248BFA5367D1}"/>
    <cellStyle name="40% - Accent4 4 2 2 6" xfId="3702" xr:uid="{B8CF2DE2-9279-4179-93A3-6D6C6CAF2C16}"/>
    <cellStyle name="40% - Accent4 4 2 2 6 2" xfId="7861" xr:uid="{F54EA587-2C3B-4174-BEAB-684C1E9735C3}"/>
    <cellStyle name="40% - Accent4 4 2 2 7" xfId="4532" xr:uid="{039D55B9-8A44-4B79-B8F4-F170A817EC6C}"/>
    <cellStyle name="40% - Accent4 4 2 2 8" xfId="8708" xr:uid="{E27B23F1-38E5-4C5A-9872-9C0E4B094CA2}"/>
    <cellStyle name="40% - Accent4 4 2 3" xfId="609" xr:uid="{00000000-0005-0000-0000-00005E020000}"/>
    <cellStyle name="40% - Accent4 4 2 3 2" xfId="1435" xr:uid="{DEF0D41C-FD62-4FAB-AE1F-D43020F79C3F}"/>
    <cellStyle name="40% - Accent4 4 2 3 2 2" xfId="5567" xr:uid="{F3C3F8B0-E70F-46BF-BB44-41A566E533E2}"/>
    <cellStyle name="40% - Accent4 4 2 3 3" xfId="2263" xr:uid="{20968668-6FFA-4276-A026-F83A708E222B}"/>
    <cellStyle name="40% - Accent4 4 2 3 3 2" xfId="6394" xr:uid="{A4CA8EB4-6D2A-457F-8DCA-7C63380A5BF7}"/>
    <cellStyle name="40% - Accent4 4 2 3 4" xfId="3087" xr:uid="{9C5AA26D-3121-4320-834E-64F9F5480151}"/>
    <cellStyle name="40% - Accent4 4 2 3 4 2" xfId="7218" xr:uid="{65ADBE2E-FD8A-4F94-8201-799B084DC70C}"/>
    <cellStyle name="40% - Accent4 4 2 3 5" xfId="3911" xr:uid="{0FA41C3C-BA31-4508-8CB9-89CCF9057DF7}"/>
    <cellStyle name="40% - Accent4 4 2 3 5 2" xfId="8070" xr:uid="{8D93A6E7-9B63-4A87-8FB4-BBED6A4DA6D7}"/>
    <cellStyle name="40% - Accent4 4 2 3 6" xfId="4741" xr:uid="{14C9FDDB-D85D-4FA3-9A71-B00D46A95C6C}"/>
    <cellStyle name="40% - Accent4 4 2 3 7" xfId="8917" xr:uid="{A770163B-6243-4FEA-863E-37F9ABBE5257}"/>
    <cellStyle name="40% - Accent4 4 2 4" xfId="1017" xr:uid="{BF9556DA-6BA6-45E5-A796-95DBFA2AE93E}"/>
    <cellStyle name="40% - Accent4 4 2 4 2" xfId="5149" xr:uid="{E9C619F9-6F10-4AF0-824A-8FE1F54A39F8}"/>
    <cellStyle name="40% - Accent4 4 2 5" xfId="1845" xr:uid="{7596B236-B6F2-4E55-BCE0-59A88E8CA4AD}"/>
    <cellStyle name="40% - Accent4 4 2 5 2" xfId="5976" xr:uid="{02DD4A5B-6E6C-4460-A6BA-5B66E96378C4}"/>
    <cellStyle name="40% - Accent4 4 2 6" xfId="2669" xr:uid="{110EABBB-0EF0-49F4-B9B6-23482D07E33E}"/>
    <cellStyle name="40% - Accent4 4 2 6 2" xfId="6800" xr:uid="{F55AEA21-ED1F-47D8-BC86-7569ED7791D5}"/>
    <cellStyle name="40% - Accent4 4 2 7" xfId="3493" xr:uid="{407EDF7D-489E-4EC7-931C-BD794DD05556}"/>
    <cellStyle name="40% - Accent4 4 2 7 2" xfId="7652" xr:uid="{6BAB62A5-178D-42E8-9C60-7F34EB4CA723}"/>
    <cellStyle name="40% - Accent4 4 2 8" xfId="4323" xr:uid="{7F37F866-AA84-4C8B-BE31-2FE9285A2888}"/>
    <cellStyle name="40% - Accent4 4 2 9" xfId="8499" xr:uid="{5855C3B4-45D8-49D3-8D02-B54F01075958}"/>
    <cellStyle name="40% - Accent4 4 3" xfId="296" xr:uid="{00000000-0005-0000-0000-00005F020000}"/>
    <cellStyle name="40% - Accent4 4 3 2" xfId="713" xr:uid="{00000000-0005-0000-0000-000060020000}"/>
    <cellStyle name="40% - Accent4 4 3 2 2" xfId="1539" xr:uid="{EE50483A-0162-4392-8D33-D83A983D0967}"/>
    <cellStyle name="40% - Accent4 4 3 2 2 2" xfId="5671" xr:uid="{1482DE5B-9611-4B69-9657-3743A86C67A3}"/>
    <cellStyle name="40% - Accent4 4 3 2 3" xfId="2367" xr:uid="{B692B1B0-971D-403D-B583-2E3E74BDB26A}"/>
    <cellStyle name="40% - Accent4 4 3 2 3 2" xfId="6498" xr:uid="{E9BD2D96-054C-40FF-85FB-34F7040FCDAB}"/>
    <cellStyle name="40% - Accent4 4 3 2 4" xfId="3191" xr:uid="{D9588C7C-E1FE-42B4-9D50-96B8039D1E4E}"/>
    <cellStyle name="40% - Accent4 4 3 2 4 2" xfId="7322" xr:uid="{E6688FF8-DAE0-4D0F-BA66-96CA27F91887}"/>
    <cellStyle name="40% - Accent4 4 3 2 5" xfId="4015" xr:uid="{C14C7924-924D-4629-8032-03ADEB694417}"/>
    <cellStyle name="40% - Accent4 4 3 2 5 2" xfId="8174" xr:uid="{47BCFE90-FA81-48B3-AA47-DC42D583DB85}"/>
    <cellStyle name="40% - Accent4 4 3 2 6" xfId="4845" xr:uid="{E2CC46DE-B78C-4994-98D4-307E2412515C}"/>
    <cellStyle name="40% - Accent4 4 3 2 7" xfId="9021" xr:uid="{F20E839C-AABF-4F2A-8360-A19152B2328E}"/>
    <cellStyle name="40% - Accent4 4 3 3" xfId="1122" xr:uid="{E0191FBB-1743-44A7-B896-70414F631612}"/>
    <cellStyle name="40% - Accent4 4 3 3 2" xfId="5254" xr:uid="{D3353C6A-7E1D-48B8-A01A-4F8DC1EFD283}"/>
    <cellStyle name="40% - Accent4 4 3 4" xfId="1950" xr:uid="{1A56B046-072E-4CC0-9C32-E4318A6CBB2D}"/>
    <cellStyle name="40% - Accent4 4 3 4 2" xfId="6081" xr:uid="{08CD57B7-71CB-4D90-85CB-67A03D98602A}"/>
    <cellStyle name="40% - Accent4 4 3 5" xfId="2774" xr:uid="{A9AE41CB-955C-4114-8F51-BADA5A1621EF}"/>
    <cellStyle name="40% - Accent4 4 3 5 2" xfId="6905" xr:uid="{6232A98B-51BA-4FBC-84C3-3BA3DFFF4DFC}"/>
    <cellStyle name="40% - Accent4 4 3 6" xfId="3598" xr:uid="{F6D550D1-25C1-49D5-A2B7-D8B8770A1FE5}"/>
    <cellStyle name="40% - Accent4 4 3 6 2" xfId="7757" xr:uid="{3754FC1E-CD68-4D66-9B11-17E80DCBFC84}"/>
    <cellStyle name="40% - Accent4 4 3 7" xfId="4428" xr:uid="{E4B8C054-A686-4483-927E-A3C09ADFEAB0}"/>
    <cellStyle name="40% - Accent4 4 3 8" xfId="8604" xr:uid="{B272B4F0-D432-4F77-A0F1-ECD88C775A18}"/>
    <cellStyle name="40% - Accent4 4 4" xfId="505" xr:uid="{00000000-0005-0000-0000-000061020000}"/>
    <cellStyle name="40% - Accent4 4 4 2" xfId="1331" xr:uid="{7200092A-28E5-4C09-B9C3-3151B08ED2A2}"/>
    <cellStyle name="40% - Accent4 4 4 2 2" xfId="5463" xr:uid="{8119FD74-4D85-4B3F-B27D-7253F1C8D2C9}"/>
    <cellStyle name="40% - Accent4 4 4 3" xfId="2159" xr:uid="{396BCBCB-7B94-4D18-AA04-0C5D43837882}"/>
    <cellStyle name="40% - Accent4 4 4 3 2" xfId="6290" xr:uid="{12F553DF-C682-4119-959E-A06EF23C648F}"/>
    <cellStyle name="40% - Accent4 4 4 4" xfId="2983" xr:uid="{3F4EF700-1117-456E-B3AB-7078CCDD6B3E}"/>
    <cellStyle name="40% - Accent4 4 4 4 2" xfId="7114" xr:uid="{15DDF8DF-E386-42C0-A15A-3E9C140CED5E}"/>
    <cellStyle name="40% - Accent4 4 4 5" xfId="3807" xr:uid="{EC6CBC5D-F5D3-43D9-A7D0-75A3AE5736C3}"/>
    <cellStyle name="40% - Accent4 4 4 5 2" xfId="7966" xr:uid="{0A4E4F40-BF01-4FDB-B8DA-4A6E2FD433E7}"/>
    <cellStyle name="40% - Accent4 4 4 6" xfId="4637" xr:uid="{2DA9AB06-BF0B-4C90-80C5-A5EC2EEE2EE7}"/>
    <cellStyle name="40% - Accent4 4 4 7" xfId="8813" xr:uid="{1C36AD4E-CFFF-40AA-85BB-A953FAA99556}"/>
    <cellStyle name="40% - Accent4 4 5" xfId="911" xr:uid="{C0E3841E-8044-4C92-9F19-85C5743937E8}"/>
    <cellStyle name="40% - Accent4 4 5 2" xfId="5043" xr:uid="{C95288C3-8C6D-4B7D-BACA-C1A580B6C820}"/>
    <cellStyle name="40% - Accent4 4 6" xfId="1739" xr:uid="{1D2AD21A-CC53-4DA4-9E7E-308EB2687E81}"/>
    <cellStyle name="40% - Accent4 4 6 2" xfId="5870" xr:uid="{3538D1DD-D294-4556-B952-25059DCFC5D6}"/>
    <cellStyle name="40% - Accent4 4 7" xfId="2563" xr:uid="{8F8FBE75-008B-4E33-9076-427DB09C3FDB}"/>
    <cellStyle name="40% - Accent4 4 7 2" xfId="6694" xr:uid="{DD7FB086-D39A-4C21-80BA-8C4B1782B14B}"/>
    <cellStyle name="40% - Accent4 4 8" xfId="3387" xr:uid="{720D7197-D7BB-4467-8A26-D7E350F62697}"/>
    <cellStyle name="40% - Accent4 4 8 2" xfId="7546" xr:uid="{58E73C88-5F2C-4D6D-BFBD-EECE07A746FB}"/>
    <cellStyle name="40% - Accent4 4 9" xfId="4217" xr:uid="{0DF50F92-FEAB-443D-A2EA-2B97D8203B30}"/>
    <cellStyle name="40% - Accent4 5" xfId="98" xr:uid="{00000000-0005-0000-0000-000062020000}"/>
    <cellStyle name="40% - Accent4 5 10" xfId="8406" xr:uid="{E0F89B43-0F90-4E6A-99A2-2853942B63D3}"/>
    <cellStyle name="40% - Accent4 5 2" xfId="203" xr:uid="{00000000-0005-0000-0000-000063020000}"/>
    <cellStyle name="40% - Accent4 5 2 2" xfId="412" xr:uid="{00000000-0005-0000-0000-000064020000}"/>
    <cellStyle name="40% - Accent4 5 2 2 2" xfId="829" xr:uid="{00000000-0005-0000-0000-000065020000}"/>
    <cellStyle name="40% - Accent4 5 2 2 2 2" xfId="1655" xr:uid="{91195A42-6B51-40C3-9A41-551AAEE33F10}"/>
    <cellStyle name="40% - Accent4 5 2 2 2 2 2" xfId="5787" xr:uid="{18C2E7EB-1C27-4BB6-AF4B-7E849FC98F06}"/>
    <cellStyle name="40% - Accent4 5 2 2 2 3" xfId="2483" xr:uid="{383AEEDD-88A9-40FB-A9CE-7D6E69A9DB08}"/>
    <cellStyle name="40% - Accent4 5 2 2 2 3 2" xfId="6614" xr:uid="{2B7B023C-9865-46A6-9723-D753CDED257A}"/>
    <cellStyle name="40% - Accent4 5 2 2 2 4" xfId="3307" xr:uid="{D8AC706A-3E3B-459A-9538-601DB05E391C}"/>
    <cellStyle name="40% - Accent4 5 2 2 2 4 2" xfId="7438" xr:uid="{70ADC259-5C89-400B-B5E2-161816A00D2B}"/>
    <cellStyle name="40% - Accent4 5 2 2 2 5" xfId="4131" xr:uid="{DAE2B8B2-C656-47DC-BCFB-AE7017D3B44B}"/>
    <cellStyle name="40% - Accent4 5 2 2 2 5 2" xfId="8290" xr:uid="{501887FA-F3CC-40FC-9D3F-EAC6C776EE27}"/>
    <cellStyle name="40% - Accent4 5 2 2 2 6" xfId="4961" xr:uid="{6AC1E978-9700-4045-9F0C-0AB796C192BD}"/>
    <cellStyle name="40% - Accent4 5 2 2 2 7" xfId="9137" xr:uid="{73D1517E-382A-4A5E-967B-A2FE26529DE8}"/>
    <cellStyle name="40% - Accent4 5 2 2 3" xfId="1238" xr:uid="{47CCBA33-B234-46E2-B186-36249E1A0C27}"/>
    <cellStyle name="40% - Accent4 5 2 2 3 2" xfId="5370" xr:uid="{59C64DAC-7147-4DD3-B6A3-47B044EC5C92}"/>
    <cellStyle name="40% - Accent4 5 2 2 4" xfId="2066" xr:uid="{551F0868-92FA-4EA7-88D3-E0EAACD24B12}"/>
    <cellStyle name="40% - Accent4 5 2 2 4 2" xfId="6197" xr:uid="{E374262A-44CB-4D61-833B-21DD16BB7EC3}"/>
    <cellStyle name="40% - Accent4 5 2 2 5" xfId="2890" xr:uid="{F2C1DF63-7653-4256-AA6E-C66009EF97AE}"/>
    <cellStyle name="40% - Accent4 5 2 2 5 2" xfId="7021" xr:uid="{A3106773-2620-4C07-99D2-B98BF64C88A5}"/>
    <cellStyle name="40% - Accent4 5 2 2 6" xfId="3714" xr:uid="{6DCEBFB5-D6F6-450C-9110-AB18557E7BA8}"/>
    <cellStyle name="40% - Accent4 5 2 2 6 2" xfId="7873" xr:uid="{8875A70C-CF4D-400A-AAE6-1996BA079D70}"/>
    <cellStyle name="40% - Accent4 5 2 2 7" xfId="4544" xr:uid="{25695C87-1386-4D9B-A282-9A9458D2ED39}"/>
    <cellStyle name="40% - Accent4 5 2 2 8" xfId="8720" xr:uid="{8C7F6F9B-4174-4BBA-99C4-448A99C56C7E}"/>
    <cellStyle name="40% - Accent4 5 2 3" xfId="621" xr:uid="{00000000-0005-0000-0000-000066020000}"/>
    <cellStyle name="40% - Accent4 5 2 3 2" xfId="1447" xr:uid="{87EE054D-9A5C-41D1-87AB-05608EFF87A6}"/>
    <cellStyle name="40% - Accent4 5 2 3 2 2" xfId="5579" xr:uid="{1E46C0D9-0F43-4E4E-BAC2-794BE46D1866}"/>
    <cellStyle name="40% - Accent4 5 2 3 3" xfId="2275" xr:uid="{E320ECB2-04E6-40D5-8201-507081B2F2EC}"/>
    <cellStyle name="40% - Accent4 5 2 3 3 2" xfId="6406" xr:uid="{4CE05EED-B6DB-4AFA-9F47-E793730C40FC}"/>
    <cellStyle name="40% - Accent4 5 2 3 4" xfId="3099" xr:uid="{B068E327-5A8F-4EB0-87E2-97D683A34607}"/>
    <cellStyle name="40% - Accent4 5 2 3 4 2" xfId="7230" xr:uid="{EBEB067E-A09E-43B5-BA65-2A7942CDB4C9}"/>
    <cellStyle name="40% - Accent4 5 2 3 5" xfId="3923" xr:uid="{4B3FC7EB-B780-4F30-BF20-52ECF666421E}"/>
    <cellStyle name="40% - Accent4 5 2 3 5 2" xfId="8082" xr:uid="{F8C1985F-C68D-415C-BDC9-C30117D4FE9E}"/>
    <cellStyle name="40% - Accent4 5 2 3 6" xfId="4753" xr:uid="{766AF8FB-FEB4-4142-8A30-9A0F5DF66942}"/>
    <cellStyle name="40% - Accent4 5 2 3 7" xfId="8929" xr:uid="{EBF027E1-3523-4F77-923E-DB0D91F163C3}"/>
    <cellStyle name="40% - Accent4 5 2 4" xfId="1029" xr:uid="{55209C92-599F-4EA4-B28A-6E71D460EA7D}"/>
    <cellStyle name="40% - Accent4 5 2 4 2" xfId="5161" xr:uid="{42DAD4DA-D080-4A62-A380-58AF8A603F75}"/>
    <cellStyle name="40% - Accent4 5 2 5" xfId="1857" xr:uid="{95390AE2-85D2-42A6-B6EC-4036E513B703}"/>
    <cellStyle name="40% - Accent4 5 2 5 2" xfId="5988" xr:uid="{DB66DCAB-C8F5-4346-80CD-672F54E7386B}"/>
    <cellStyle name="40% - Accent4 5 2 6" xfId="2681" xr:uid="{3BEABE39-029D-4876-A0BF-DADD286D18D9}"/>
    <cellStyle name="40% - Accent4 5 2 6 2" xfId="6812" xr:uid="{3501240A-DD7B-42EB-9A31-10ACD402417F}"/>
    <cellStyle name="40% - Accent4 5 2 7" xfId="3505" xr:uid="{AA9C90E9-1CE9-49D1-868F-4A981123F5C5}"/>
    <cellStyle name="40% - Accent4 5 2 7 2" xfId="7664" xr:uid="{698E05A3-2FAA-44B3-81B8-B53865EFE71E}"/>
    <cellStyle name="40% - Accent4 5 2 8" xfId="4335" xr:uid="{5347D804-51A1-4B7C-8E06-31CC02CDA04E}"/>
    <cellStyle name="40% - Accent4 5 2 9" xfId="8511" xr:uid="{57EB4F10-5892-464F-9444-F1937A802E01}"/>
    <cellStyle name="40% - Accent4 5 3" xfId="308" xr:uid="{00000000-0005-0000-0000-000067020000}"/>
    <cellStyle name="40% - Accent4 5 3 2" xfId="725" xr:uid="{00000000-0005-0000-0000-000068020000}"/>
    <cellStyle name="40% - Accent4 5 3 2 2" xfId="1551" xr:uid="{150DC448-2FD4-4208-8B0D-879988234C0B}"/>
    <cellStyle name="40% - Accent4 5 3 2 2 2" xfId="5683" xr:uid="{2DC3B54B-D5AD-4A77-AC81-308618D60CC3}"/>
    <cellStyle name="40% - Accent4 5 3 2 3" xfId="2379" xr:uid="{A7FF455D-1810-448B-8ECC-4CE9C848C928}"/>
    <cellStyle name="40% - Accent4 5 3 2 3 2" xfId="6510" xr:uid="{EFAD9B54-EAF0-4A2D-9906-2C54596B5B12}"/>
    <cellStyle name="40% - Accent4 5 3 2 4" xfId="3203" xr:uid="{04D7BDAD-9377-4AC3-92FD-472E4589A47F}"/>
    <cellStyle name="40% - Accent4 5 3 2 4 2" xfId="7334" xr:uid="{37901619-901C-4789-9F2F-01134FBB8913}"/>
    <cellStyle name="40% - Accent4 5 3 2 5" xfId="4027" xr:uid="{1C171FE5-88E9-447B-B91A-DE6E1BCB2C93}"/>
    <cellStyle name="40% - Accent4 5 3 2 5 2" xfId="8186" xr:uid="{8907F35E-FE88-4565-A193-29C4FC81E316}"/>
    <cellStyle name="40% - Accent4 5 3 2 6" xfId="4857" xr:uid="{0B7F4665-3605-49E3-838C-BFEC184EB34C}"/>
    <cellStyle name="40% - Accent4 5 3 2 7" xfId="9033" xr:uid="{5DCE8720-FA8B-496A-811D-7C2E17F6F007}"/>
    <cellStyle name="40% - Accent4 5 3 3" xfId="1134" xr:uid="{48B07B4A-4F70-4968-B5FE-63573BBDAB70}"/>
    <cellStyle name="40% - Accent4 5 3 3 2" xfId="5266" xr:uid="{60DA016E-0CA4-4A53-859F-78B182BA960A}"/>
    <cellStyle name="40% - Accent4 5 3 4" xfId="1962" xr:uid="{8D6A8500-BE95-4C5E-A991-063C58B9F059}"/>
    <cellStyle name="40% - Accent4 5 3 4 2" xfId="6093" xr:uid="{AE7E9357-0B0D-45E0-A594-E8909FC348E3}"/>
    <cellStyle name="40% - Accent4 5 3 5" xfId="2786" xr:uid="{0058C3BD-F652-4737-8EE6-FC4620F7F434}"/>
    <cellStyle name="40% - Accent4 5 3 5 2" xfId="6917" xr:uid="{6EA60FB6-C80C-458A-AD11-E85070FBA571}"/>
    <cellStyle name="40% - Accent4 5 3 6" xfId="3610" xr:uid="{C2F898F6-3398-463C-959F-1DF8EEC7B18B}"/>
    <cellStyle name="40% - Accent4 5 3 6 2" xfId="7769" xr:uid="{AE4B8655-C93D-418B-8FBB-34613864AB75}"/>
    <cellStyle name="40% - Accent4 5 3 7" xfId="4440" xr:uid="{8004DF52-0C3C-43E4-AD51-CB3728E7AB4D}"/>
    <cellStyle name="40% - Accent4 5 3 8" xfId="8616" xr:uid="{F97A1280-6127-4A13-B701-256C42E0C92D}"/>
    <cellStyle name="40% - Accent4 5 4" xfId="517" xr:uid="{00000000-0005-0000-0000-000069020000}"/>
    <cellStyle name="40% - Accent4 5 4 2" xfId="1343" xr:uid="{B6266DCA-7C19-4E50-B7E7-38C55D02A837}"/>
    <cellStyle name="40% - Accent4 5 4 2 2" xfId="5475" xr:uid="{B60E5B31-4CBE-4264-B5BE-F5510BF82E08}"/>
    <cellStyle name="40% - Accent4 5 4 3" xfId="2171" xr:uid="{C739B88C-906A-4976-894F-8B3E50D5389F}"/>
    <cellStyle name="40% - Accent4 5 4 3 2" xfId="6302" xr:uid="{9426D2E5-DC88-4969-8C11-E1D2029F2F2D}"/>
    <cellStyle name="40% - Accent4 5 4 4" xfId="2995" xr:uid="{9F4DA740-56D6-4B59-9491-FF6CEF746243}"/>
    <cellStyle name="40% - Accent4 5 4 4 2" xfId="7126" xr:uid="{B5514D44-4A15-4C57-B3A3-D095C1E2450F}"/>
    <cellStyle name="40% - Accent4 5 4 5" xfId="3819" xr:uid="{1004D200-9369-49B6-95B1-EDCD67FAE13B}"/>
    <cellStyle name="40% - Accent4 5 4 5 2" xfId="7978" xr:uid="{27FBF86E-A088-4156-B7B2-DADAE7797BBE}"/>
    <cellStyle name="40% - Accent4 5 4 6" xfId="4649" xr:uid="{F543C154-D52C-4C8F-805F-62364506F33E}"/>
    <cellStyle name="40% - Accent4 5 4 7" xfId="8825" xr:uid="{D5818E39-44C9-497D-89FD-AA38ADC26422}"/>
    <cellStyle name="40% - Accent4 5 5" xfId="924" xr:uid="{C4823A86-6172-488B-B1D5-E46BEFF10602}"/>
    <cellStyle name="40% - Accent4 5 5 2" xfId="5056" xr:uid="{72A867D3-F973-4341-B309-D1909C796D9B}"/>
    <cellStyle name="40% - Accent4 5 6" xfId="1752" xr:uid="{2572319F-8A34-4D9D-A120-04F84DAD3E4E}"/>
    <cellStyle name="40% - Accent4 5 6 2" xfId="5883" xr:uid="{B316EAA8-30BC-49D4-94D8-D1CAC61BBBD8}"/>
    <cellStyle name="40% - Accent4 5 7" xfId="2576" xr:uid="{53BF49F6-7D78-4D99-B0BB-D6FA1A3E0C20}"/>
    <cellStyle name="40% - Accent4 5 7 2" xfId="6707" xr:uid="{A09157E6-8B77-4455-ADCB-EB2F1B6DEE2F}"/>
    <cellStyle name="40% - Accent4 5 8" xfId="3400" xr:uid="{8F9E1B7D-EB29-4327-B1E9-8BB7EDCCBBDA}"/>
    <cellStyle name="40% - Accent4 5 8 2" xfId="7559" xr:uid="{0009623E-0D52-4A71-8D2D-FA8D1E5183A9}"/>
    <cellStyle name="40% - Accent4 5 9" xfId="4230" xr:uid="{A1DAA6FB-868B-49E1-AC6F-28315F50F3C5}"/>
    <cellStyle name="40% - Accent4 6" xfId="138" xr:uid="{00000000-0005-0000-0000-00006A020000}"/>
    <cellStyle name="40% - Accent4 6 2" xfId="348" xr:uid="{00000000-0005-0000-0000-00006B020000}"/>
    <cellStyle name="40% - Accent4 6 2 2" xfId="765" xr:uid="{00000000-0005-0000-0000-00006C020000}"/>
    <cellStyle name="40% - Accent4 6 2 2 2" xfId="1591" xr:uid="{435668F9-EE35-47A6-8F35-65EF5401EB4B}"/>
    <cellStyle name="40% - Accent4 6 2 2 2 2" xfId="5723" xr:uid="{65B9C865-38F2-4513-94E6-0C9045D07858}"/>
    <cellStyle name="40% - Accent4 6 2 2 3" xfId="2419" xr:uid="{0EA2A1E2-A2C4-4D88-803C-F5F278A64D07}"/>
    <cellStyle name="40% - Accent4 6 2 2 3 2" xfId="6550" xr:uid="{DFDABF06-C18C-4C6C-B193-AE77C6D23646}"/>
    <cellStyle name="40% - Accent4 6 2 2 4" xfId="3243" xr:uid="{3EDFD86B-0B3E-4106-990F-389EA15CFE26}"/>
    <cellStyle name="40% - Accent4 6 2 2 4 2" xfId="7374" xr:uid="{198C27CC-4C5B-478E-B0CC-DFC42325638D}"/>
    <cellStyle name="40% - Accent4 6 2 2 5" xfId="4067" xr:uid="{970A3AB0-A5C6-4438-961D-2D92410F1410}"/>
    <cellStyle name="40% - Accent4 6 2 2 5 2" xfId="8226" xr:uid="{DF0A0586-A59D-4C9E-B80A-ECE75D6B6AC0}"/>
    <cellStyle name="40% - Accent4 6 2 2 6" xfId="4897" xr:uid="{543050AB-43A3-43D6-9C36-9CB0219F38F5}"/>
    <cellStyle name="40% - Accent4 6 2 2 7" xfId="9073" xr:uid="{49980DC2-4C5F-4923-B651-E2EF9A7FDF44}"/>
    <cellStyle name="40% - Accent4 6 2 3" xfId="1174" xr:uid="{C6645030-EA6E-47B3-BFC4-688FF105B65B}"/>
    <cellStyle name="40% - Accent4 6 2 3 2" xfId="5306" xr:uid="{045CBA0E-3B18-466E-A257-A7E3CA9BC7D7}"/>
    <cellStyle name="40% - Accent4 6 2 4" xfId="2002" xr:uid="{53D5D345-1DCC-4954-8591-E8709282A344}"/>
    <cellStyle name="40% - Accent4 6 2 4 2" xfId="6133" xr:uid="{DD57F391-CD51-4389-B8B4-AFDD0A7DDE21}"/>
    <cellStyle name="40% - Accent4 6 2 5" xfId="2826" xr:uid="{EF8EEB9F-35F8-49B6-B8B9-BC0B071441C2}"/>
    <cellStyle name="40% - Accent4 6 2 5 2" xfId="6957" xr:uid="{1E7D6191-6AB1-4726-9D99-1FDB9F576B1A}"/>
    <cellStyle name="40% - Accent4 6 2 6" xfId="3650" xr:uid="{790E90E3-6F19-4BA6-8AAD-20098FE9DE58}"/>
    <cellStyle name="40% - Accent4 6 2 6 2" xfId="7809" xr:uid="{EE32316D-AB92-4C33-81A5-13F275802B58}"/>
    <cellStyle name="40% - Accent4 6 2 7" xfId="4480" xr:uid="{F410306D-948E-4AF3-8024-A9CB6D031D41}"/>
    <cellStyle name="40% - Accent4 6 2 8" xfId="8656" xr:uid="{23B1BB62-64A6-4CB4-B261-F29A2D650A33}"/>
    <cellStyle name="40% - Accent4 6 3" xfId="557" xr:uid="{00000000-0005-0000-0000-00006D020000}"/>
    <cellStyle name="40% - Accent4 6 3 2" xfId="1383" xr:uid="{49B4648F-4A23-4BBF-B81B-59F1A20034DA}"/>
    <cellStyle name="40% - Accent4 6 3 2 2" xfId="5515" xr:uid="{DAA90880-301F-4615-ACF3-E96834A33841}"/>
    <cellStyle name="40% - Accent4 6 3 3" xfId="2211" xr:uid="{678046E1-6F10-412E-A9C0-FB908E4186EB}"/>
    <cellStyle name="40% - Accent4 6 3 3 2" xfId="6342" xr:uid="{CF0EE87C-9D0D-48CA-9437-2984BAE29376}"/>
    <cellStyle name="40% - Accent4 6 3 4" xfId="3035" xr:uid="{398346D1-6A15-43D5-A0C5-CFBAFA58CFA1}"/>
    <cellStyle name="40% - Accent4 6 3 4 2" xfId="7166" xr:uid="{72188530-1C28-4959-BEBC-A9ADCDAC8E36}"/>
    <cellStyle name="40% - Accent4 6 3 5" xfId="3859" xr:uid="{C280C15B-F8C3-4200-9FF9-DC6B9B5BA901}"/>
    <cellStyle name="40% - Accent4 6 3 5 2" xfId="8018" xr:uid="{E6A1C2F1-F872-4D21-BD95-D9DBE1EB8E95}"/>
    <cellStyle name="40% - Accent4 6 3 6" xfId="4689" xr:uid="{3D7E6EC8-81CA-474D-B602-CF888AA00577}"/>
    <cellStyle name="40% - Accent4 6 3 7" xfId="8865" xr:uid="{716A3619-9C83-43F5-956B-BE0A4AFA7DCD}"/>
    <cellStyle name="40% - Accent4 6 4" xfId="964" xr:uid="{5AA721A2-F1E5-41FF-BB9F-64ABDD67505F}"/>
    <cellStyle name="40% - Accent4 6 4 2" xfId="5096" xr:uid="{145E172B-20E8-45FC-BDA1-98A794EE4017}"/>
    <cellStyle name="40% - Accent4 6 5" xfId="1792" xr:uid="{8C0D11DE-E2D6-4F1E-80B4-444F3C3FCB53}"/>
    <cellStyle name="40% - Accent4 6 5 2" xfId="5923" xr:uid="{C015BBFB-CE4A-4314-9E56-0F12668BF354}"/>
    <cellStyle name="40% - Accent4 6 6" xfId="2616" xr:uid="{AB228C88-88C9-42F3-83E5-B6CEBAD37E14}"/>
    <cellStyle name="40% - Accent4 6 6 2" xfId="6747" xr:uid="{CFA4A932-E879-4BB3-9803-8E5B24DEDA1A}"/>
    <cellStyle name="40% - Accent4 6 7" xfId="3440" xr:uid="{937EBE61-4C2E-44C4-B949-FBD8CCA0F79E}"/>
    <cellStyle name="40% - Accent4 6 7 2" xfId="7599" xr:uid="{A842275E-3BB4-4B58-A212-BD80549B0E8E}"/>
    <cellStyle name="40% - Accent4 6 8" xfId="4270" xr:uid="{44C13686-2B27-4A04-8EB7-A294A0ECAFBF}"/>
    <cellStyle name="40% - Accent4 6 9" xfId="8446" xr:uid="{053004DC-2E34-4038-8BB5-EFB548219242}"/>
    <cellStyle name="40% - Accent4 7" xfId="151" xr:uid="{00000000-0005-0000-0000-00006E020000}"/>
    <cellStyle name="40% - Accent4 7 2" xfId="360" xr:uid="{00000000-0005-0000-0000-00006F020000}"/>
    <cellStyle name="40% - Accent4 7 2 2" xfId="777" xr:uid="{00000000-0005-0000-0000-000070020000}"/>
    <cellStyle name="40% - Accent4 7 2 2 2" xfId="1603" xr:uid="{C60F5BC8-4D4A-494A-8E72-D404BB253F78}"/>
    <cellStyle name="40% - Accent4 7 2 2 2 2" xfId="5735" xr:uid="{D4D1435E-7973-478C-BC97-FF4B031BE169}"/>
    <cellStyle name="40% - Accent4 7 2 2 3" xfId="2431" xr:uid="{C34F0698-9065-4286-B58C-5926B62283A9}"/>
    <cellStyle name="40% - Accent4 7 2 2 3 2" xfId="6562" xr:uid="{8C661167-29A6-4FD6-B5F8-EE37E6517129}"/>
    <cellStyle name="40% - Accent4 7 2 2 4" xfId="3255" xr:uid="{C7BAD7B5-8B2A-479E-863E-1D4BC979B53B}"/>
    <cellStyle name="40% - Accent4 7 2 2 4 2" xfId="7386" xr:uid="{6B36DF28-C86E-4DAC-9415-7A3979A4A24F}"/>
    <cellStyle name="40% - Accent4 7 2 2 5" xfId="4079" xr:uid="{6A07FB0C-2556-4270-B5A5-0362B7F06231}"/>
    <cellStyle name="40% - Accent4 7 2 2 5 2" xfId="8238" xr:uid="{19461F32-3B74-4F30-BA49-58573ED1B21D}"/>
    <cellStyle name="40% - Accent4 7 2 2 6" xfId="4909" xr:uid="{C0AF7A30-F1E8-4E7E-8A12-B9C1207C7ED5}"/>
    <cellStyle name="40% - Accent4 7 2 2 7" xfId="9085" xr:uid="{36E184E8-A84A-4EAA-A92B-4897F830DA28}"/>
    <cellStyle name="40% - Accent4 7 2 3" xfId="1186" xr:uid="{A6A72253-DCA4-47F7-9589-7F3ADE96ABB0}"/>
    <cellStyle name="40% - Accent4 7 2 3 2" xfId="5318" xr:uid="{5EE581F4-0613-4F89-9A54-64F2633C0106}"/>
    <cellStyle name="40% - Accent4 7 2 4" xfId="2014" xr:uid="{14781ABB-A3D8-40DC-B343-0CDFAAB4F0FE}"/>
    <cellStyle name="40% - Accent4 7 2 4 2" xfId="6145" xr:uid="{AB3F88D8-8D6E-4114-AAA1-6E0A6058723C}"/>
    <cellStyle name="40% - Accent4 7 2 5" xfId="2838" xr:uid="{59FC1AFC-FAAB-4B19-A61A-674633F4856E}"/>
    <cellStyle name="40% - Accent4 7 2 5 2" xfId="6969" xr:uid="{F8D51FC8-1F07-493D-B489-D13BCE896092}"/>
    <cellStyle name="40% - Accent4 7 2 6" xfId="3662" xr:uid="{2AAF0A30-5779-4651-91D4-2DA4192B282F}"/>
    <cellStyle name="40% - Accent4 7 2 6 2" xfId="7821" xr:uid="{E29A8043-6541-4C33-B209-5E101928D522}"/>
    <cellStyle name="40% - Accent4 7 2 7" xfId="4492" xr:uid="{51ABF094-5C4F-487F-AD23-27275B93E785}"/>
    <cellStyle name="40% - Accent4 7 2 8" xfId="8668" xr:uid="{7196DDE7-D60D-4CBD-8D8C-9AA688381ED1}"/>
    <cellStyle name="40% - Accent4 7 3" xfId="569" xr:uid="{00000000-0005-0000-0000-000071020000}"/>
    <cellStyle name="40% - Accent4 7 3 2" xfId="1395" xr:uid="{36084740-7814-4F28-9719-22AC7AD4109A}"/>
    <cellStyle name="40% - Accent4 7 3 2 2" xfId="5527" xr:uid="{27846841-1FE6-4D7E-9E56-AD8FF401D37B}"/>
    <cellStyle name="40% - Accent4 7 3 3" xfId="2223" xr:uid="{72CF6013-4DE4-4261-8107-44C0E4598B05}"/>
    <cellStyle name="40% - Accent4 7 3 3 2" xfId="6354" xr:uid="{239DF2F5-8618-4CF5-A465-3A7012221C36}"/>
    <cellStyle name="40% - Accent4 7 3 4" xfId="3047" xr:uid="{CA5BF0CB-328E-48B9-96E0-077A69F97BF6}"/>
    <cellStyle name="40% - Accent4 7 3 4 2" xfId="7178" xr:uid="{5B5988E0-0834-4E5F-8E53-A5317D47A7B4}"/>
    <cellStyle name="40% - Accent4 7 3 5" xfId="3871" xr:uid="{B21E961D-BDEA-458F-9A15-0F560D5E3BFF}"/>
    <cellStyle name="40% - Accent4 7 3 5 2" xfId="8030" xr:uid="{4B09C370-E02B-4749-8CB8-401172EEFD17}"/>
    <cellStyle name="40% - Accent4 7 3 6" xfId="4701" xr:uid="{2747BA03-7774-4605-BD9C-4C5B47A99B15}"/>
    <cellStyle name="40% - Accent4 7 3 7" xfId="8877" xr:uid="{AF78EFC0-1C24-42B8-AACB-47B3E1FFF75A}"/>
    <cellStyle name="40% - Accent4 7 4" xfId="977" xr:uid="{EAED9FC9-03E3-4067-8A4A-E5BDADD31EBB}"/>
    <cellStyle name="40% - Accent4 7 4 2" xfId="5109" xr:uid="{473E7310-9482-44CC-B6A8-78F0F38A2CFD}"/>
    <cellStyle name="40% - Accent4 7 5" xfId="1805" xr:uid="{0719E959-F775-4D66-B34F-DF04DCFDF683}"/>
    <cellStyle name="40% - Accent4 7 5 2" xfId="5936" xr:uid="{E67DAA70-7D91-4A0C-8967-403FA4713ABF}"/>
    <cellStyle name="40% - Accent4 7 6" xfId="2629" xr:uid="{8ECE6886-B3CC-49CF-ABFE-5604221C1F98}"/>
    <cellStyle name="40% - Accent4 7 6 2" xfId="6760" xr:uid="{3C8E5291-EC9D-459E-8938-0FCECB576343}"/>
    <cellStyle name="40% - Accent4 7 7" xfId="3453" xr:uid="{8F08C235-F856-45F9-99BB-BF2F236434C9}"/>
    <cellStyle name="40% - Accent4 7 7 2" xfId="7612" xr:uid="{F95E8AE4-89C2-49B0-9E6D-5954F5594810}"/>
    <cellStyle name="40% - Accent4 7 8" xfId="4283" xr:uid="{58CFEBE5-636C-4CB2-AB92-0F3D22414AAC}"/>
    <cellStyle name="40% - Accent4 7 9" xfId="8459" xr:uid="{2D52BD5B-4A38-49C6-AFAB-E52BAAE2EF4E}"/>
    <cellStyle name="40% - Accent4 8" xfId="243" xr:uid="{00000000-0005-0000-0000-000072020000}"/>
    <cellStyle name="40% - Accent4 8 2" xfId="661" xr:uid="{00000000-0005-0000-0000-000073020000}"/>
    <cellStyle name="40% - Accent4 8 2 2" xfId="1487" xr:uid="{4D1ED656-DE91-4CAA-A45A-C9E66F8FE518}"/>
    <cellStyle name="40% - Accent4 8 2 2 2" xfId="5619" xr:uid="{4521F794-46BA-4D04-8ED3-E9E3B748F030}"/>
    <cellStyle name="40% - Accent4 8 2 3" xfId="2315" xr:uid="{6483D1FB-B996-4493-AC5B-2DFD5409E05B}"/>
    <cellStyle name="40% - Accent4 8 2 3 2" xfId="6446" xr:uid="{977A859F-752D-4D2A-8AA9-22773F16F33E}"/>
    <cellStyle name="40% - Accent4 8 2 4" xfId="3139" xr:uid="{014D25EF-454C-42E1-AED0-F56C91DFC863}"/>
    <cellStyle name="40% - Accent4 8 2 4 2" xfId="7270" xr:uid="{B11BB0C8-4623-4485-BFD4-AC47119EC492}"/>
    <cellStyle name="40% - Accent4 8 2 5" xfId="3963" xr:uid="{3C872205-7C7E-42B7-B200-96BDF4DF3335}"/>
    <cellStyle name="40% - Accent4 8 2 5 2" xfId="8122" xr:uid="{84215D50-A9E9-45C0-864A-DB17B3E154D3}"/>
    <cellStyle name="40% - Accent4 8 2 6" xfId="4793" xr:uid="{1E4E67B4-C92E-43B2-AA72-D7C6982ECFB0}"/>
    <cellStyle name="40% - Accent4 8 2 7" xfId="8969" xr:uid="{64A6DA71-CCE1-4262-B29B-F680E7D7985C}"/>
    <cellStyle name="40% - Accent4 8 3" xfId="1069" xr:uid="{9C9129B0-613E-4BB8-8E14-739709CAB9CC}"/>
    <cellStyle name="40% - Accent4 8 3 2" xfId="5201" xr:uid="{9EC70A32-367E-4278-A780-2DF2365C4768}"/>
    <cellStyle name="40% - Accent4 8 4" xfId="1897" xr:uid="{6B1C063B-985F-4E4C-B10F-959A0797315E}"/>
    <cellStyle name="40% - Accent4 8 4 2" xfId="6028" xr:uid="{C14DB1EA-9D17-4F19-98D9-5073C8248249}"/>
    <cellStyle name="40% - Accent4 8 5" xfId="2721" xr:uid="{23FC280E-4312-4A42-9882-7ED083824554}"/>
    <cellStyle name="40% - Accent4 8 5 2" xfId="6852" xr:uid="{F676E728-133F-4209-A577-6041E1E8205D}"/>
    <cellStyle name="40% - Accent4 8 6" xfId="3545" xr:uid="{B5F13A1C-86F1-4F2D-B03E-36671923D376}"/>
    <cellStyle name="40% - Accent4 8 6 2" xfId="7704" xr:uid="{943FFAF1-7A1B-4FD0-927B-71A209130117}"/>
    <cellStyle name="40% - Accent4 8 7" xfId="4375" xr:uid="{C987CB71-EE0E-4FAE-8078-AF7FCB87291F}"/>
    <cellStyle name="40% - Accent4 8 8" xfId="8551" xr:uid="{A81E3A30-940A-42F3-AEFB-F9CBB340F7BC}"/>
    <cellStyle name="40% - Accent4 9" xfId="256" xr:uid="{00000000-0005-0000-0000-000074020000}"/>
    <cellStyle name="40% - Accent4 9 2" xfId="673" xr:uid="{00000000-0005-0000-0000-000075020000}"/>
    <cellStyle name="40% - Accent4 9 2 2" xfId="1499" xr:uid="{1A45D725-8963-43A3-A5D4-142682D7A9C4}"/>
    <cellStyle name="40% - Accent4 9 2 2 2" xfId="5631" xr:uid="{84BF407F-10BF-441F-86AE-91AD61B9787F}"/>
    <cellStyle name="40% - Accent4 9 2 3" xfId="2327" xr:uid="{BA23BFCD-5897-4C55-99E5-E2AD5304F056}"/>
    <cellStyle name="40% - Accent4 9 2 3 2" xfId="6458" xr:uid="{2A28BAC1-03D9-42B7-BAE9-ABA95A9D76EE}"/>
    <cellStyle name="40% - Accent4 9 2 4" xfId="3151" xr:uid="{D9623A47-31DD-4B7D-9CAB-1462BC1B6650}"/>
    <cellStyle name="40% - Accent4 9 2 4 2" xfId="7282" xr:uid="{DE898DAD-3FB9-486A-9DB5-C48085D897ED}"/>
    <cellStyle name="40% - Accent4 9 2 5" xfId="3975" xr:uid="{565DF142-A315-4C3D-AAC3-B371DC750F07}"/>
    <cellStyle name="40% - Accent4 9 2 5 2" xfId="8134" xr:uid="{018DCE42-5E3E-4B11-9543-A55F1661828F}"/>
    <cellStyle name="40% - Accent4 9 2 6" xfId="4805" xr:uid="{5C434FA9-4D32-4B3E-9A78-AC95783241DC}"/>
    <cellStyle name="40% - Accent4 9 2 7" xfId="8981" xr:uid="{AB228992-D1BF-4542-9895-D78E5EB42A3A}"/>
    <cellStyle name="40% - Accent4 9 3" xfId="1082" xr:uid="{466348FE-35EC-400A-8D3C-272C6D355F96}"/>
    <cellStyle name="40% - Accent4 9 3 2" xfId="5214" xr:uid="{3DA9484D-049C-4C35-B831-D3665955C7B4}"/>
    <cellStyle name="40% - Accent4 9 4" xfId="1910" xr:uid="{AEEF3552-24B7-4E57-B9AB-783EB75D63A2}"/>
    <cellStyle name="40% - Accent4 9 4 2" xfId="6041" xr:uid="{2B782CC5-43E8-4A30-8BA9-723A6FF251E3}"/>
    <cellStyle name="40% - Accent4 9 5" xfId="2734" xr:uid="{00D77EE1-3558-4F5E-BB26-F53E6458BEF8}"/>
    <cellStyle name="40% - Accent4 9 5 2" xfId="6865" xr:uid="{D1F66F8B-3D4A-4C0D-81EF-EE0CD7173571}"/>
    <cellStyle name="40% - Accent4 9 6" xfId="3558" xr:uid="{9CA19F00-6CE0-441F-B1BA-C61AA6BE1F15}"/>
    <cellStyle name="40% - Accent4 9 6 2" xfId="7717" xr:uid="{C9E318E4-6FB1-4B2B-9999-AD59DDDD4EB0}"/>
    <cellStyle name="40% - Accent4 9 7" xfId="4388" xr:uid="{AA98D5E4-0436-46FA-B5C6-3651300F8000}"/>
    <cellStyle name="40% - Accent4 9 8" xfId="8564" xr:uid="{3893A6DB-0E7A-4EEC-A572-C62E5F0A9E77}"/>
    <cellStyle name="40% - Accent5" xfId="36" builtinId="47" customBuiltin="1"/>
    <cellStyle name="40% - Accent5 10" xfId="454" xr:uid="{00000000-0005-0000-0000-000077020000}"/>
    <cellStyle name="40% - Accent5 10 2" xfId="1280" xr:uid="{A45E739F-CD22-42D6-8405-CA031EC90428}"/>
    <cellStyle name="40% - Accent5 10 2 2" xfId="5412" xr:uid="{9543F029-83B7-41AE-B20C-8B14C2317A66}"/>
    <cellStyle name="40% - Accent5 10 3" xfId="2108" xr:uid="{53478FD2-9B63-44F8-AD63-618B90D4ED0C}"/>
    <cellStyle name="40% - Accent5 10 3 2" xfId="6239" xr:uid="{0D7EC752-324A-4383-A00A-946E1809CBB4}"/>
    <cellStyle name="40% - Accent5 10 4" xfId="2932" xr:uid="{316049C0-50BC-470D-9211-E3D0E55E3C45}"/>
    <cellStyle name="40% - Accent5 10 4 2" xfId="7063" xr:uid="{F6F85F3E-F1F1-47FB-B999-3F4588716106}"/>
    <cellStyle name="40% - Accent5 10 5" xfId="3756" xr:uid="{4388CE7E-EDEE-4579-9BFF-F35A1638697D}"/>
    <cellStyle name="40% - Accent5 10 5 2" xfId="7915" xr:uid="{6701C879-4E33-47C7-995B-D72E317195D3}"/>
    <cellStyle name="40% - Accent5 10 6" xfId="4586" xr:uid="{FECABB90-8AC1-44C2-B811-A14790CDBD84}"/>
    <cellStyle name="40% - Accent5 10 7" xfId="8762" xr:uid="{2F7CB5FE-23D8-47B3-9D44-3B0C3C6506C7}"/>
    <cellStyle name="40% - Accent5 11" xfId="467" xr:uid="{00000000-0005-0000-0000-000078020000}"/>
    <cellStyle name="40% - Accent5 11 2" xfId="1293" xr:uid="{D2DF9057-5AAF-4245-9C6B-BB339A1416FE}"/>
    <cellStyle name="40% - Accent5 11 2 2" xfId="5425" xr:uid="{A9F2BE8C-F592-43AA-933C-7742EC025FAB}"/>
    <cellStyle name="40% - Accent5 11 3" xfId="2121" xr:uid="{F47F4A97-7ACF-4D8F-B0F7-9538ACFE6C76}"/>
    <cellStyle name="40% - Accent5 11 3 2" xfId="6252" xr:uid="{0EB3F023-7FB9-4132-B972-E00F2387A12C}"/>
    <cellStyle name="40% - Accent5 11 4" xfId="2945" xr:uid="{5ED46778-F128-4B1D-891E-7175490EDAF0}"/>
    <cellStyle name="40% - Accent5 11 4 2" xfId="7076" xr:uid="{84D87E2B-7B20-4F49-94B2-905D2C47AAA4}"/>
    <cellStyle name="40% - Accent5 11 5" xfId="3769" xr:uid="{7CE47AE9-0CDE-4526-A753-1672FD48A3D6}"/>
    <cellStyle name="40% - Accent5 11 5 2" xfId="7928" xr:uid="{AD01916D-12BF-45A5-AAA2-D3FD94EBCB80}"/>
    <cellStyle name="40% - Accent5 11 6" xfId="4599" xr:uid="{85B97602-5E2C-48EA-9196-102E76AB12E9}"/>
    <cellStyle name="40% - Accent5 11 7" xfId="8775" xr:uid="{D15C95D5-674A-4EC3-AD31-729565CA8F3F}"/>
    <cellStyle name="40% - Accent5 12" xfId="872" xr:uid="{62E717AE-7698-40CD-B90E-D897051B1AA9}"/>
    <cellStyle name="40% - Accent5 12 2" xfId="5004" xr:uid="{A268147A-EE9E-4B43-AF60-F231FAC9CA2B}"/>
    <cellStyle name="40% - Accent5 13" xfId="1701" xr:uid="{0D2BE159-7C09-4BF6-94AE-7E750411C86A}"/>
    <cellStyle name="40% - Accent5 13 2" xfId="5832" xr:uid="{0E1E74E6-460B-4305-BE6E-6E0802B26862}"/>
    <cellStyle name="40% - Accent5 14" xfId="2525" xr:uid="{E71D6581-A6B9-46FC-8561-1AC87B0FC70F}"/>
    <cellStyle name="40% - Accent5 14 2" xfId="6656" xr:uid="{A9F81F43-79CB-4D1B-8A08-2624675C5E93}"/>
    <cellStyle name="40% - Accent5 15" xfId="3349" xr:uid="{371C248D-ACBE-4AC6-869B-03F89823164C}"/>
    <cellStyle name="40% - Accent5 15 2" xfId="7508" xr:uid="{5E473673-7FEA-464C-AEF7-89B47C26A6DE}"/>
    <cellStyle name="40% - Accent5 16" xfId="4178" xr:uid="{76A9EE85-3D3E-4CA3-AD03-23A37FE6C271}"/>
    <cellStyle name="40% - Accent5 17" xfId="8355" xr:uid="{11D7BFFF-1582-4ADB-BC83-3320CF06FF1A}"/>
    <cellStyle name="40% - Accent5 2" xfId="61" xr:uid="{00000000-0005-0000-0000-000079020000}"/>
    <cellStyle name="40% - Accent5 2 10" xfId="4193" xr:uid="{F337DAC3-4D29-4B0D-B7D8-B685B9D17FF3}"/>
    <cellStyle name="40% - Accent5 2 11" xfId="8369" xr:uid="{20C51F8C-FCF8-486B-BA28-4E6E7B445E2B}"/>
    <cellStyle name="40% - Accent5 2 2" xfId="114" xr:uid="{00000000-0005-0000-0000-00007A020000}"/>
    <cellStyle name="40% - Accent5 2 2 10" xfId="8422" xr:uid="{95B0DDF8-AC1E-45E3-BD84-2E2B43E13ABF}"/>
    <cellStyle name="40% - Accent5 2 2 2" xfId="219" xr:uid="{00000000-0005-0000-0000-00007B020000}"/>
    <cellStyle name="40% - Accent5 2 2 2 2" xfId="428" xr:uid="{00000000-0005-0000-0000-00007C020000}"/>
    <cellStyle name="40% - Accent5 2 2 2 2 2" xfId="845" xr:uid="{00000000-0005-0000-0000-00007D020000}"/>
    <cellStyle name="40% - Accent5 2 2 2 2 2 2" xfId="1671" xr:uid="{551A3D74-3957-41CB-8F2A-705808CAD94F}"/>
    <cellStyle name="40% - Accent5 2 2 2 2 2 2 2" xfId="5803" xr:uid="{EABD0621-9CF1-4D48-9FA4-6D3AC8207A9F}"/>
    <cellStyle name="40% - Accent5 2 2 2 2 2 3" xfId="2499" xr:uid="{9994DAB7-9FC5-4A11-B0CB-AA5837551CC9}"/>
    <cellStyle name="40% - Accent5 2 2 2 2 2 3 2" xfId="6630" xr:uid="{B1CB3BFF-64DC-4E49-ACEF-86FF8C20FB85}"/>
    <cellStyle name="40% - Accent5 2 2 2 2 2 4" xfId="3323" xr:uid="{15C94CDC-AE5D-4D93-BA80-66BE4B70926A}"/>
    <cellStyle name="40% - Accent5 2 2 2 2 2 4 2" xfId="7454" xr:uid="{E22FE25F-9185-4BB3-828A-03FCA8DDF44E}"/>
    <cellStyle name="40% - Accent5 2 2 2 2 2 5" xfId="4147" xr:uid="{94E284FB-7531-4AF7-B375-58C45666741B}"/>
    <cellStyle name="40% - Accent5 2 2 2 2 2 5 2" xfId="8306" xr:uid="{13ABF58D-F2CD-42C8-AEB4-9319A82BF583}"/>
    <cellStyle name="40% - Accent5 2 2 2 2 2 6" xfId="4977" xr:uid="{F146F0B5-F690-4F29-B06C-220844D8F28C}"/>
    <cellStyle name="40% - Accent5 2 2 2 2 2 7" xfId="9153" xr:uid="{3842B3A9-DF27-4633-A3EE-1EE933484EE5}"/>
    <cellStyle name="40% - Accent5 2 2 2 2 3" xfId="1254" xr:uid="{5FD31DFA-A56D-4788-8670-A36E7978FD34}"/>
    <cellStyle name="40% - Accent5 2 2 2 2 3 2" xfId="5386" xr:uid="{AEEAAD43-5126-4081-8BB5-586D1DE8F431}"/>
    <cellStyle name="40% - Accent5 2 2 2 2 4" xfId="2082" xr:uid="{56983479-AE67-47D7-AF9F-31131A5F4285}"/>
    <cellStyle name="40% - Accent5 2 2 2 2 4 2" xfId="6213" xr:uid="{F66A60D0-C494-4353-AD64-4C71C58D8AB3}"/>
    <cellStyle name="40% - Accent5 2 2 2 2 5" xfId="2906" xr:uid="{4F7D3830-6F4A-4A68-9AD5-368A75136C78}"/>
    <cellStyle name="40% - Accent5 2 2 2 2 5 2" xfId="7037" xr:uid="{553811A9-C35E-4170-A16E-748378BA777A}"/>
    <cellStyle name="40% - Accent5 2 2 2 2 6" xfId="3730" xr:uid="{BBE07A8A-39F5-45F1-AA87-95D65475BD1A}"/>
    <cellStyle name="40% - Accent5 2 2 2 2 6 2" xfId="7889" xr:uid="{635FCB03-A2ED-4F2F-AD05-9A0DDD9FFFA5}"/>
    <cellStyle name="40% - Accent5 2 2 2 2 7" xfId="4560" xr:uid="{C44C4CD7-3337-497C-A1BB-CB7709B95EBC}"/>
    <cellStyle name="40% - Accent5 2 2 2 2 8" xfId="8736" xr:uid="{BEFCA419-2819-41C6-AAC2-C73C9626C062}"/>
    <cellStyle name="40% - Accent5 2 2 2 3" xfId="637" xr:uid="{00000000-0005-0000-0000-00007E020000}"/>
    <cellStyle name="40% - Accent5 2 2 2 3 2" xfId="1463" xr:uid="{077FDB28-C73D-4BDB-B432-555C1900A7AC}"/>
    <cellStyle name="40% - Accent5 2 2 2 3 2 2" xfId="5595" xr:uid="{946D3B83-52D4-4269-B7D0-50A61BA3578B}"/>
    <cellStyle name="40% - Accent5 2 2 2 3 3" xfId="2291" xr:uid="{ABAD6C5F-6F79-493D-8AC3-D60F7C991114}"/>
    <cellStyle name="40% - Accent5 2 2 2 3 3 2" xfId="6422" xr:uid="{46722488-5826-4CD6-A8A7-EDADD6127845}"/>
    <cellStyle name="40% - Accent5 2 2 2 3 4" xfId="3115" xr:uid="{6436A6EA-11AD-4973-93F9-9B806528BE00}"/>
    <cellStyle name="40% - Accent5 2 2 2 3 4 2" xfId="7246" xr:uid="{C6537AC8-1705-4380-A4FA-DFE9FB87E95F}"/>
    <cellStyle name="40% - Accent5 2 2 2 3 5" xfId="3939" xr:uid="{02BADAD4-7EC7-4264-8764-63749D859482}"/>
    <cellStyle name="40% - Accent5 2 2 2 3 5 2" xfId="8098" xr:uid="{83F76043-4240-447C-B2F2-80830787B50C}"/>
    <cellStyle name="40% - Accent5 2 2 2 3 6" xfId="4769" xr:uid="{95D39421-1654-4304-926F-47708EA0E375}"/>
    <cellStyle name="40% - Accent5 2 2 2 3 7" xfId="8945" xr:uid="{950CB4B4-827F-47FA-97DB-EA2461C0FF90}"/>
    <cellStyle name="40% - Accent5 2 2 2 4" xfId="1045" xr:uid="{C4DC1FB8-CFF5-418A-89B6-18E4B1A51EF7}"/>
    <cellStyle name="40% - Accent5 2 2 2 4 2" xfId="5177" xr:uid="{A311A208-4746-44F2-9FF1-2BB1A11F7344}"/>
    <cellStyle name="40% - Accent5 2 2 2 5" xfId="1873" xr:uid="{C0F7D4B1-1062-4EB8-8ED4-B0E40BAD42E4}"/>
    <cellStyle name="40% - Accent5 2 2 2 5 2" xfId="6004" xr:uid="{0A50A3D8-3AE2-4F69-9B2D-0D86C1356BEC}"/>
    <cellStyle name="40% - Accent5 2 2 2 6" xfId="2697" xr:uid="{78EE3F92-166C-4BA5-AB2C-80BB6EAA2D46}"/>
    <cellStyle name="40% - Accent5 2 2 2 6 2" xfId="6828" xr:uid="{70FC9EBE-9C83-4078-A860-ED203ED0877B}"/>
    <cellStyle name="40% - Accent5 2 2 2 7" xfId="3521" xr:uid="{41B5EC21-D0EC-4FC9-A6F4-5BA54CC792C7}"/>
    <cellStyle name="40% - Accent5 2 2 2 7 2" xfId="7680" xr:uid="{6A103195-29A9-45AB-AD6C-0E37880D9358}"/>
    <cellStyle name="40% - Accent5 2 2 2 8" xfId="4351" xr:uid="{56CAC99F-B043-4EDC-BB10-4941B23CCE7E}"/>
    <cellStyle name="40% - Accent5 2 2 2 9" xfId="8527" xr:uid="{E4EAEB68-A098-49E6-8943-4A0563BEA9EF}"/>
    <cellStyle name="40% - Accent5 2 2 3" xfId="324" xr:uid="{00000000-0005-0000-0000-00007F020000}"/>
    <cellStyle name="40% - Accent5 2 2 3 2" xfId="741" xr:uid="{00000000-0005-0000-0000-000080020000}"/>
    <cellStyle name="40% - Accent5 2 2 3 2 2" xfId="1567" xr:uid="{E1FD7140-F55E-4894-91D9-221EE4EFFAB0}"/>
    <cellStyle name="40% - Accent5 2 2 3 2 2 2" xfId="5699" xr:uid="{9FB286CF-7D2D-4689-9023-667E50E7ECA5}"/>
    <cellStyle name="40% - Accent5 2 2 3 2 3" xfId="2395" xr:uid="{454CE6DC-1C2D-4F47-B6D0-C6D0A6BF1647}"/>
    <cellStyle name="40% - Accent5 2 2 3 2 3 2" xfId="6526" xr:uid="{4A7D4A93-429F-48BE-A7AC-8FB29E0B0863}"/>
    <cellStyle name="40% - Accent5 2 2 3 2 4" xfId="3219" xr:uid="{3014A471-F868-43D4-9ADC-F25F90CEC7DD}"/>
    <cellStyle name="40% - Accent5 2 2 3 2 4 2" xfId="7350" xr:uid="{7385AE4C-B31C-474B-9786-A7E6E8793665}"/>
    <cellStyle name="40% - Accent5 2 2 3 2 5" xfId="4043" xr:uid="{4D6CEB93-2F93-48FF-964C-09A33F45A592}"/>
    <cellStyle name="40% - Accent5 2 2 3 2 5 2" xfId="8202" xr:uid="{E64260D4-CCFF-442B-8D78-622B14D25C9A}"/>
    <cellStyle name="40% - Accent5 2 2 3 2 6" xfId="4873" xr:uid="{890EBFBC-56A5-4A31-AF1F-6F71DCFE383E}"/>
    <cellStyle name="40% - Accent5 2 2 3 2 7" xfId="9049" xr:uid="{E35E2010-A3D2-43BF-953A-2290B51F7A86}"/>
    <cellStyle name="40% - Accent5 2 2 3 3" xfId="1150" xr:uid="{A6117198-DCC3-480D-AA5A-85CAB49EB9D5}"/>
    <cellStyle name="40% - Accent5 2 2 3 3 2" xfId="5282" xr:uid="{5BAAF8C6-044E-47D6-843A-772C1AA39248}"/>
    <cellStyle name="40% - Accent5 2 2 3 4" xfId="1978" xr:uid="{E46C4573-42EC-46F4-8680-8E64775523B0}"/>
    <cellStyle name="40% - Accent5 2 2 3 4 2" xfId="6109" xr:uid="{4C5EFA7B-5987-43A4-BDCF-BF6B415A7CAB}"/>
    <cellStyle name="40% - Accent5 2 2 3 5" xfId="2802" xr:uid="{07450579-1872-42F3-B6EF-E1AA299D5D5C}"/>
    <cellStyle name="40% - Accent5 2 2 3 5 2" xfId="6933" xr:uid="{44A5EF92-C2F7-43EE-A62C-A9C409E43A67}"/>
    <cellStyle name="40% - Accent5 2 2 3 6" xfId="3626" xr:uid="{4709FEB9-B17B-4F1D-95EC-AEF49E30EE0E}"/>
    <cellStyle name="40% - Accent5 2 2 3 6 2" xfId="7785" xr:uid="{17B1E918-7C76-4B32-88A6-2AFC9821E137}"/>
    <cellStyle name="40% - Accent5 2 2 3 7" xfId="4456" xr:uid="{52A6E2DE-2997-4C7C-B376-A9053AD91000}"/>
    <cellStyle name="40% - Accent5 2 2 3 8" xfId="8632" xr:uid="{CBE06309-B117-4840-82E6-15D9675215F4}"/>
    <cellStyle name="40% - Accent5 2 2 4" xfId="533" xr:uid="{00000000-0005-0000-0000-000081020000}"/>
    <cellStyle name="40% - Accent5 2 2 4 2" xfId="1359" xr:uid="{90341C9F-3C80-4E5A-896E-ACAE6DC6047C}"/>
    <cellStyle name="40% - Accent5 2 2 4 2 2" xfId="5491" xr:uid="{9D8E41E6-894D-467D-85E9-E46D9FC33616}"/>
    <cellStyle name="40% - Accent5 2 2 4 3" xfId="2187" xr:uid="{C94E7E3C-DC96-4387-AB69-7A11E9E657C8}"/>
    <cellStyle name="40% - Accent5 2 2 4 3 2" xfId="6318" xr:uid="{741941E5-A1C8-43CF-84B8-CDF25482DD08}"/>
    <cellStyle name="40% - Accent5 2 2 4 4" xfId="3011" xr:uid="{EC993527-FBE2-4CBB-966C-303ADEC9B049}"/>
    <cellStyle name="40% - Accent5 2 2 4 4 2" xfId="7142" xr:uid="{3A6EC700-5B3D-4536-AE96-12B5C84D2A64}"/>
    <cellStyle name="40% - Accent5 2 2 4 5" xfId="3835" xr:uid="{711798D0-384A-457D-9E35-0BF5C9767530}"/>
    <cellStyle name="40% - Accent5 2 2 4 5 2" xfId="7994" xr:uid="{CD6EBEFE-8992-4005-8B0C-F41330205D3E}"/>
    <cellStyle name="40% - Accent5 2 2 4 6" xfId="4665" xr:uid="{C3F7E642-EAD7-4507-96B5-F99D94BB41B3}"/>
    <cellStyle name="40% - Accent5 2 2 4 7" xfId="8841" xr:uid="{DFC0E2CB-125C-4A40-8047-6842018EBE5F}"/>
    <cellStyle name="40% - Accent5 2 2 5" xfId="940" xr:uid="{F623DBF8-934B-4E30-B407-44A25C351FFE}"/>
    <cellStyle name="40% - Accent5 2 2 5 2" xfId="5072" xr:uid="{17485E0F-5D19-4593-B6D2-75086BAC5A13}"/>
    <cellStyle name="40% - Accent5 2 2 6" xfId="1768" xr:uid="{553A9BDF-548D-4FF9-A1FA-31C5A30B7D49}"/>
    <cellStyle name="40% - Accent5 2 2 6 2" xfId="5899" xr:uid="{3EBCD276-B80A-4822-AA38-A6EB84900A14}"/>
    <cellStyle name="40% - Accent5 2 2 7" xfId="2592" xr:uid="{223E8716-1A58-4B76-8825-B36A95DD0305}"/>
    <cellStyle name="40% - Accent5 2 2 7 2" xfId="6723" xr:uid="{371A0342-A161-463A-87AE-ED142F216008}"/>
    <cellStyle name="40% - Accent5 2 2 8" xfId="3416" xr:uid="{9C355E81-ED56-462B-8B6A-FEEBC8917946}"/>
    <cellStyle name="40% - Accent5 2 2 8 2" xfId="7575" xr:uid="{B6A8E25F-3C2C-476C-A1F1-ABA56BFAD430}"/>
    <cellStyle name="40% - Accent5 2 2 9" xfId="4246" xr:uid="{E03BDD3E-1A2D-4EDC-98D7-C4175CE2B30B}"/>
    <cellStyle name="40% - Accent5 2 3" xfId="167" xr:uid="{00000000-0005-0000-0000-000082020000}"/>
    <cellStyle name="40% - Accent5 2 3 2" xfId="376" xr:uid="{00000000-0005-0000-0000-000083020000}"/>
    <cellStyle name="40% - Accent5 2 3 2 2" xfId="793" xr:uid="{00000000-0005-0000-0000-000084020000}"/>
    <cellStyle name="40% - Accent5 2 3 2 2 2" xfId="1619" xr:uid="{E53365F1-6073-4F84-98B9-6C98E8E77160}"/>
    <cellStyle name="40% - Accent5 2 3 2 2 2 2" xfId="5751" xr:uid="{C04CF856-64C2-419A-814A-E43000FDF4D0}"/>
    <cellStyle name="40% - Accent5 2 3 2 2 3" xfId="2447" xr:uid="{9F807714-EB40-4513-A3E7-7CEFFBA8F10B}"/>
    <cellStyle name="40% - Accent5 2 3 2 2 3 2" xfId="6578" xr:uid="{5A76E8E2-1051-4313-82E6-C52C3C75F9A9}"/>
    <cellStyle name="40% - Accent5 2 3 2 2 4" xfId="3271" xr:uid="{D08BE3C9-ECD0-4389-80C0-97FA0CC537E1}"/>
    <cellStyle name="40% - Accent5 2 3 2 2 4 2" xfId="7402" xr:uid="{6DE103C6-EFE2-48B1-B7D5-234D540F0502}"/>
    <cellStyle name="40% - Accent5 2 3 2 2 5" xfId="4095" xr:uid="{26A79F14-443B-4AE1-B42B-F29BECB32FA9}"/>
    <cellStyle name="40% - Accent5 2 3 2 2 5 2" xfId="8254" xr:uid="{69645E5B-2970-4D3E-9913-5E72AC528396}"/>
    <cellStyle name="40% - Accent5 2 3 2 2 6" xfId="4925" xr:uid="{F2A0F9E8-A0CE-4569-933C-E4B77DE246ED}"/>
    <cellStyle name="40% - Accent5 2 3 2 2 7" xfId="9101" xr:uid="{C842C198-6722-4644-B28A-BCCCEA1ED3F8}"/>
    <cellStyle name="40% - Accent5 2 3 2 3" xfId="1202" xr:uid="{93516837-6EF3-4BCE-B8CB-265124CA438C}"/>
    <cellStyle name="40% - Accent5 2 3 2 3 2" xfId="5334" xr:uid="{25429BFC-03DC-44A7-BC11-69A5EB753B79}"/>
    <cellStyle name="40% - Accent5 2 3 2 4" xfId="2030" xr:uid="{EA65650D-49A9-42B9-8ED3-AB004F8643A2}"/>
    <cellStyle name="40% - Accent5 2 3 2 4 2" xfId="6161" xr:uid="{9B1375EF-969C-4AAF-8393-0B26A8D12546}"/>
    <cellStyle name="40% - Accent5 2 3 2 5" xfId="2854" xr:uid="{797C13EB-1FC1-41ED-BE14-09EA9669C8E5}"/>
    <cellStyle name="40% - Accent5 2 3 2 5 2" xfId="6985" xr:uid="{C8A7508A-CF3C-4036-A4FC-8D1BB07E85E3}"/>
    <cellStyle name="40% - Accent5 2 3 2 6" xfId="3678" xr:uid="{679D4EDF-19B4-4CFF-8118-3237E884259E}"/>
    <cellStyle name="40% - Accent5 2 3 2 6 2" xfId="7837" xr:uid="{9781320A-3F28-49D7-BC8B-2C27CDC231C4}"/>
    <cellStyle name="40% - Accent5 2 3 2 7" xfId="4508" xr:uid="{3B3293A2-6A1A-404A-B08E-C9A492842EDA}"/>
    <cellStyle name="40% - Accent5 2 3 2 8" xfId="8684" xr:uid="{166B195F-9069-4FE5-BF89-7A8F5437C9C5}"/>
    <cellStyle name="40% - Accent5 2 3 3" xfId="585" xr:uid="{00000000-0005-0000-0000-000085020000}"/>
    <cellStyle name="40% - Accent5 2 3 3 2" xfId="1411" xr:uid="{A7C67862-BBAF-434F-A78C-8A4D8D40AAE5}"/>
    <cellStyle name="40% - Accent5 2 3 3 2 2" xfId="5543" xr:uid="{A7D6776A-DB08-43F8-9340-917D965CE472}"/>
    <cellStyle name="40% - Accent5 2 3 3 3" xfId="2239" xr:uid="{6DCA85EB-DD67-4E76-8A08-FF63CE6DCE0B}"/>
    <cellStyle name="40% - Accent5 2 3 3 3 2" xfId="6370" xr:uid="{E156420A-1CF2-4A0C-88F0-01B38F2D76D5}"/>
    <cellStyle name="40% - Accent5 2 3 3 4" xfId="3063" xr:uid="{4C584616-E7AA-4FF9-952C-D413E4574618}"/>
    <cellStyle name="40% - Accent5 2 3 3 4 2" xfId="7194" xr:uid="{53E0E340-BC00-4A59-897E-F4763F3E4E45}"/>
    <cellStyle name="40% - Accent5 2 3 3 5" xfId="3887" xr:uid="{FC9C23AE-64F0-4D10-9FF9-529B8CED7DA5}"/>
    <cellStyle name="40% - Accent5 2 3 3 5 2" xfId="8046" xr:uid="{0107BC2C-BE59-4CE9-BCE4-43709CA9EE49}"/>
    <cellStyle name="40% - Accent5 2 3 3 6" xfId="4717" xr:uid="{3E699681-45F1-48F6-B329-BB53AB8A5633}"/>
    <cellStyle name="40% - Accent5 2 3 3 7" xfId="8893" xr:uid="{5B943221-33FF-42D1-97CA-E7CD931DAF8E}"/>
    <cellStyle name="40% - Accent5 2 3 4" xfId="993" xr:uid="{EC43F830-5C57-4EE2-97FD-BB3FCECA791F}"/>
    <cellStyle name="40% - Accent5 2 3 4 2" xfId="5125" xr:uid="{98204AEF-72DB-4EB4-A703-5E8939CA090F}"/>
    <cellStyle name="40% - Accent5 2 3 5" xfId="1821" xr:uid="{ACD6C788-AA0A-4434-9C6B-5B3999AA39F2}"/>
    <cellStyle name="40% - Accent5 2 3 5 2" xfId="5952" xr:uid="{F540CC6E-07C7-4F2D-A583-15B014FC7514}"/>
    <cellStyle name="40% - Accent5 2 3 6" xfId="2645" xr:uid="{685E3466-9E68-466E-ADBD-4E654DE0FE8B}"/>
    <cellStyle name="40% - Accent5 2 3 6 2" xfId="6776" xr:uid="{BDBADDB4-E79A-483F-95D3-D5EB647361EC}"/>
    <cellStyle name="40% - Accent5 2 3 7" xfId="3469" xr:uid="{31995358-621C-4C83-89CE-7F54C46E97CE}"/>
    <cellStyle name="40% - Accent5 2 3 7 2" xfId="7628" xr:uid="{6D78EB6A-D145-4EDE-8555-F310B81D2FEC}"/>
    <cellStyle name="40% - Accent5 2 3 8" xfId="4299" xr:uid="{33AE1BB5-17C8-4DD6-B0C1-4B67C27BE9B4}"/>
    <cellStyle name="40% - Accent5 2 3 9" xfId="8475" xr:uid="{FF1BC40D-831B-4AF2-BD20-51088ADFBEE7}"/>
    <cellStyle name="40% - Accent5 2 4" xfId="272" xr:uid="{00000000-0005-0000-0000-000086020000}"/>
    <cellStyle name="40% - Accent5 2 4 2" xfId="689" xr:uid="{00000000-0005-0000-0000-000087020000}"/>
    <cellStyle name="40% - Accent5 2 4 2 2" xfId="1515" xr:uid="{D844C825-273F-41C1-A878-F552AAC67F17}"/>
    <cellStyle name="40% - Accent5 2 4 2 2 2" xfId="5647" xr:uid="{FBE2C579-C545-4C73-97C4-238284FD4D88}"/>
    <cellStyle name="40% - Accent5 2 4 2 3" xfId="2343" xr:uid="{27D5F621-8B78-4B6B-BA87-E03B7F7F3947}"/>
    <cellStyle name="40% - Accent5 2 4 2 3 2" xfId="6474" xr:uid="{58EF98E4-3D8D-4BE8-AC0B-00713AB7B646}"/>
    <cellStyle name="40% - Accent5 2 4 2 4" xfId="3167" xr:uid="{136AF9CF-8A8A-46EF-8EDA-1BC601F1B808}"/>
    <cellStyle name="40% - Accent5 2 4 2 4 2" xfId="7298" xr:uid="{72EC3652-6B1D-4AF3-B0ED-66EDB01C7D70}"/>
    <cellStyle name="40% - Accent5 2 4 2 5" xfId="3991" xr:uid="{2701BE61-95EA-48A0-A0E0-5A81FD8C0BEF}"/>
    <cellStyle name="40% - Accent5 2 4 2 5 2" xfId="8150" xr:uid="{83BCE5EC-CCD1-475D-92BE-BDABCB073E56}"/>
    <cellStyle name="40% - Accent5 2 4 2 6" xfId="4821" xr:uid="{B27B34DB-3004-4AB1-942E-83DAA23063FE}"/>
    <cellStyle name="40% - Accent5 2 4 2 7" xfId="8997" xr:uid="{618A0628-C44A-4266-BD7F-1E7975987E96}"/>
    <cellStyle name="40% - Accent5 2 4 3" xfId="1098" xr:uid="{29190406-9263-4DEB-BD89-EC65E6A6230E}"/>
    <cellStyle name="40% - Accent5 2 4 3 2" xfId="5230" xr:uid="{A92A4C86-098E-4074-8B8D-373568496E74}"/>
    <cellStyle name="40% - Accent5 2 4 4" xfId="1926" xr:uid="{100FF10F-9A12-4E87-88DB-BDCA1AD4C05B}"/>
    <cellStyle name="40% - Accent5 2 4 4 2" xfId="6057" xr:uid="{8E9F517D-5C04-497D-A47B-E9C4123B13F5}"/>
    <cellStyle name="40% - Accent5 2 4 5" xfId="2750" xr:uid="{1541FD1D-D939-4D58-8E1B-7335F6A9D32B}"/>
    <cellStyle name="40% - Accent5 2 4 5 2" xfId="6881" xr:uid="{9E3BFC61-0E92-4059-B88A-F5288F11321C}"/>
    <cellStyle name="40% - Accent5 2 4 6" xfId="3574" xr:uid="{E55A226F-113D-4D37-BAA2-36047A9CA9ED}"/>
    <cellStyle name="40% - Accent5 2 4 6 2" xfId="7733" xr:uid="{9E4F45C7-C9A8-405C-89EA-6AD829375073}"/>
    <cellStyle name="40% - Accent5 2 4 7" xfId="4404" xr:uid="{6C2AABB7-CC0E-498D-B2D5-7AFC10024A08}"/>
    <cellStyle name="40% - Accent5 2 4 8" xfId="8580" xr:uid="{2F0A1DD4-292D-4F89-B9A9-4A27286ED1D5}"/>
    <cellStyle name="40% - Accent5 2 5" xfId="481" xr:uid="{00000000-0005-0000-0000-000088020000}"/>
    <cellStyle name="40% - Accent5 2 5 2" xfId="1307" xr:uid="{6140822E-24CB-4FD8-9AFF-47E2FCF5A8F6}"/>
    <cellStyle name="40% - Accent5 2 5 2 2" xfId="5439" xr:uid="{6017D753-6845-4E44-A9E8-98294B2AB902}"/>
    <cellStyle name="40% - Accent5 2 5 3" xfId="2135" xr:uid="{762878F2-B70E-4F10-A89C-445A7814C0AA}"/>
    <cellStyle name="40% - Accent5 2 5 3 2" xfId="6266" xr:uid="{4299F9AE-93F7-491D-89B4-8B1016800478}"/>
    <cellStyle name="40% - Accent5 2 5 4" xfId="2959" xr:uid="{E601E762-3D73-41F7-887E-53E743D72FDE}"/>
    <cellStyle name="40% - Accent5 2 5 4 2" xfId="7090" xr:uid="{35D01467-D3BF-49FA-B1CD-A1AC6B874805}"/>
    <cellStyle name="40% - Accent5 2 5 5" xfId="3783" xr:uid="{17506D92-C856-4184-BE35-F24FE304CAA5}"/>
    <cellStyle name="40% - Accent5 2 5 5 2" xfId="7942" xr:uid="{74056B16-581D-4830-A11D-1C5249DC4B47}"/>
    <cellStyle name="40% - Accent5 2 5 6" xfId="4613" xr:uid="{37E2421B-513E-4D5F-A9DE-E9ADC587F4FD}"/>
    <cellStyle name="40% - Accent5 2 5 7" xfId="8789" xr:uid="{1467D052-8734-4433-90C2-37AEB2C853FA}"/>
    <cellStyle name="40% - Accent5 2 6" xfId="887" xr:uid="{274737E0-6B13-4699-ADE5-8E4B6B07D725}"/>
    <cellStyle name="40% - Accent5 2 6 2" xfId="5019" xr:uid="{45EC7835-FAE7-424A-9A32-B788AB509EE1}"/>
    <cellStyle name="40% - Accent5 2 7" xfId="1715" xr:uid="{F29F5C33-E838-4CFE-B93E-C19C642624AF}"/>
    <cellStyle name="40% - Accent5 2 7 2" xfId="5846" xr:uid="{2E408E15-C8BE-4583-BA17-4E9BDB9C23CF}"/>
    <cellStyle name="40% - Accent5 2 8" xfId="2539" xr:uid="{D83A72BE-DF15-4984-BCF0-693C1B9CC1BE}"/>
    <cellStyle name="40% - Accent5 2 8 2" xfId="6670" xr:uid="{98ED0DDD-CE20-4353-80AC-90580A4C5724}"/>
    <cellStyle name="40% - Accent5 2 9" xfId="3363" xr:uid="{0AD85889-D540-4BAE-B7A2-FDB5E713AB55}"/>
    <cellStyle name="40% - Accent5 2 9 2" xfId="7522" xr:uid="{808A1280-091D-44CF-BCFE-A265698022B3}"/>
    <cellStyle name="40% - Accent5 3" xfId="74" xr:uid="{00000000-0005-0000-0000-000089020000}"/>
    <cellStyle name="40% - Accent5 3 10" xfId="4206" xr:uid="{DDF3A8B0-6049-4D26-A8DF-98AF8341BD75}"/>
    <cellStyle name="40% - Accent5 3 11" xfId="8382" xr:uid="{EBD26501-A15A-48D2-A5A3-2E6FAB070953}"/>
    <cellStyle name="40% - Accent5 3 2" xfId="127" xr:uid="{00000000-0005-0000-0000-00008A020000}"/>
    <cellStyle name="40% - Accent5 3 2 10" xfId="8435" xr:uid="{A6F3B54C-295B-4AB0-B530-6A45D8391E27}"/>
    <cellStyle name="40% - Accent5 3 2 2" xfId="232" xr:uid="{00000000-0005-0000-0000-00008B020000}"/>
    <cellStyle name="40% - Accent5 3 2 2 2" xfId="441" xr:uid="{00000000-0005-0000-0000-00008C020000}"/>
    <cellStyle name="40% - Accent5 3 2 2 2 2" xfId="858" xr:uid="{00000000-0005-0000-0000-00008D020000}"/>
    <cellStyle name="40% - Accent5 3 2 2 2 2 2" xfId="1684" xr:uid="{0F1DFA09-D709-4059-8BA2-994A10714210}"/>
    <cellStyle name="40% - Accent5 3 2 2 2 2 2 2" xfId="5816" xr:uid="{62E506CB-9BBD-4754-B07D-7EBACD753687}"/>
    <cellStyle name="40% - Accent5 3 2 2 2 2 3" xfId="2512" xr:uid="{7E838AD1-AA44-4108-B632-2164E62E4373}"/>
    <cellStyle name="40% - Accent5 3 2 2 2 2 3 2" xfId="6643" xr:uid="{00450B71-2581-4099-973A-05975386B251}"/>
    <cellStyle name="40% - Accent5 3 2 2 2 2 4" xfId="3336" xr:uid="{188A6E1F-E083-4E2F-A575-EA273E5CAB15}"/>
    <cellStyle name="40% - Accent5 3 2 2 2 2 4 2" xfId="7467" xr:uid="{5BD0D462-71CE-4AD3-9469-C35EECED3E81}"/>
    <cellStyle name="40% - Accent5 3 2 2 2 2 5" xfId="4160" xr:uid="{D9FC04D7-2A9A-4041-B5D2-B16386616C74}"/>
    <cellStyle name="40% - Accent5 3 2 2 2 2 5 2" xfId="8319" xr:uid="{E0B815E8-977B-4B46-BB14-84FD89F21363}"/>
    <cellStyle name="40% - Accent5 3 2 2 2 2 6" xfId="4990" xr:uid="{BAB7C269-A074-4C61-8821-EAB1FCAAC5ED}"/>
    <cellStyle name="40% - Accent5 3 2 2 2 2 7" xfId="9166" xr:uid="{78E657BB-3DE1-4FBA-BD30-7F988FC6ABE3}"/>
    <cellStyle name="40% - Accent5 3 2 2 2 3" xfId="1267" xr:uid="{9FB7BBBE-2EAC-413B-A61C-137D4EF7F93C}"/>
    <cellStyle name="40% - Accent5 3 2 2 2 3 2" xfId="5399" xr:uid="{0248D72A-6BE6-40AB-A28E-4CA56CC1AC35}"/>
    <cellStyle name="40% - Accent5 3 2 2 2 4" xfId="2095" xr:uid="{B921C6F8-4C80-42F0-81DF-BBF1CBEC2D22}"/>
    <cellStyle name="40% - Accent5 3 2 2 2 4 2" xfId="6226" xr:uid="{99498410-E0A2-4EBD-9DA1-B3C86BA5839C}"/>
    <cellStyle name="40% - Accent5 3 2 2 2 5" xfId="2919" xr:uid="{2E886504-0196-42B7-9B83-0C0D0BDEDC1C}"/>
    <cellStyle name="40% - Accent5 3 2 2 2 5 2" xfId="7050" xr:uid="{8E7DD928-4BE1-4058-9518-78C956080AB4}"/>
    <cellStyle name="40% - Accent5 3 2 2 2 6" xfId="3743" xr:uid="{A4117B97-1290-477A-8B5B-3F928E3FD9FF}"/>
    <cellStyle name="40% - Accent5 3 2 2 2 6 2" xfId="7902" xr:uid="{EF327128-E14D-4BED-BEFC-80062AAAA396}"/>
    <cellStyle name="40% - Accent5 3 2 2 2 7" xfId="4573" xr:uid="{F89F9420-926F-4761-B455-D2CDEA63DFDD}"/>
    <cellStyle name="40% - Accent5 3 2 2 2 8" xfId="8749" xr:uid="{AB8D9552-6BD0-4FBC-B2B2-6F7FE154A4B9}"/>
    <cellStyle name="40% - Accent5 3 2 2 3" xfId="650" xr:uid="{00000000-0005-0000-0000-00008E020000}"/>
    <cellStyle name="40% - Accent5 3 2 2 3 2" xfId="1476" xr:uid="{EF6F2011-3B5D-4705-86E6-5085656DAFB9}"/>
    <cellStyle name="40% - Accent5 3 2 2 3 2 2" xfId="5608" xr:uid="{3BF23D1B-4863-45DB-9147-44A887D9C7AA}"/>
    <cellStyle name="40% - Accent5 3 2 2 3 3" xfId="2304" xr:uid="{16B8494A-0296-4DE5-8353-826814DA639B}"/>
    <cellStyle name="40% - Accent5 3 2 2 3 3 2" xfId="6435" xr:uid="{2A181DE8-5404-4905-98EE-A284FB9956A3}"/>
    <cellStyle name="40% - Accent5 3 2 2 3 4" xfId="3128" xr:uid="{1B2F08FA-FFB2-4DE7-B15E-F5F1DCC2BB9A}"/>
    <cellStyle name="40% - Accent5 3 2 2 3 4 2" xfId="7259" xr:uid="{23C72663-0E41-4458-95F9-683FEBF11E92}"/>
    <cellStyle name="40% - Accent5 3 2 2 3 5" xfId="3952" xr:uid="{0B01F5BA-0030-4798-8580-56FD32E3547D}"/>
    <cellStyle name="40% - Accent5 3 2 2 3 5 2" xfId="8111" xr:uid="{0B22E259-5DE4-40F7-9634-5FA74C117B33}"/>
    <cellStyle name="40% - Accent5 3 2 2 3 6" xfId="4782" xr:uid="{F8332A28-DA4E-4B3B-A1F0-356F65153480}"/>
    <cellStyle name="40% - Accent5 3 2 2 3 7" xfId="8958" xr:uid="{A8291CC8-EBA1-4D93-81CD-AEDA6FE8A16C}"/>
    <cellStyle name="40% - Accent5 3 2 2 4" xfId="1058" xr:uid="{8D90E53B-7318-4612-8DD0-5BF709799624}"/>
    <cellStyle name="40% - Accent5 3 2 2 4 2" xfId="5190" xr:uid="{DAF8C375-881F-4004-B0FB-C25626DD4805}"/>
    <cellStyle name="40% - Accent5 3 2 2 5" xfId="1886" xr:uid="{E22912B8-AE48-4791-A648-8AB1EFCD0BDB}"/>
    <cellStyle name="40% - Accent5 3 2 2 5 2" xfId="6017" xr:uid="{CFE891AF-F028-44A8-B572-B640A3937A81}"/>
    <cellStyle name="40% - Accent5 3 2 2 6" xfId="2710" xr:uid="{CE4DE5F3-221E-40AA-8D2D-DD5D9FABC5F4}"/>
    <cellStyle name="40% - Accent5 3 2 2 6 2" xfId="6841" xr:uid="{A89EBC84-916C-4913-B01B-A0487A025F66}"/>
    <cellStyle name="40% - Accent5 3 2 2 7" xfId="3534" xr:uid="{05664E17-914A-4551-8FB9-59A270190255}"/>
    <cellStyle name="40% - Accent5 3 2 2 7 2" xfId="7693" xr:uid="{9B0B0412-7285-494F-87E1-9AD5CE573683}"/>
    <cellStyle name="40% - Accent5 3 2 2 8" xfId="4364" xr:uid="{1F29EF50-86BC-4178-9CBF-493E0C62A80B}"/>
    <cellStyle name="40% - Accent5 3 2 2 9" xfId="8540" xr:uid="{BAC78A5E-98BB-4585-ADFF-299F48BCD466}"/>
    <cellStyle name="40% - Accent5 3 2 3" xfId="337" xr:uid="{00000000-0005-0000-0000-00008F020000}"/>
    <cellStyle name="40% - Accent5 3 2 3 2" xfId="754" xr:uid="{00000000-0005-0000-0000-000090020000}"/>
    <cellStyle name="40% - Accent5 3 2 3 2 2" xfId="1580" xr:uid="{B961A944-D749-4457-A5EA-10F061F65356}"/>
    <cellStyle name="40% - Accent5 3 2 3 2 2 2" xfId="5712" xr:uid="{C1F7D879-0E97-4502-B43B-8176422A316F}"/>
    <cellStyle name="40% - Accent5 3 2 3 2 3" xfId="2408" xr:uid="{C7BA943C-C7C1-4657-A745-4A987C5F28ED}"/>
    <cellStyle name="40% - Accent5 3 2 3 2 3 2" xfId="6539" xr:uid="{9099997F-A3DA-41CF-B7DF-2933000E9425}"/>
    <cellStyle name="40% - Accent5 3 2 3 2 4" xfId="3232" xr:uid="{71453ECB-8162-4719-AC79-92F2196EE13A}"/>
    <cellStyle name="40% - Accent5 3 2 3 2 4 2" xfId="7363" xr:uid="{D6E4CCB5-1A59-4A47-A685-039BA5965D77}"/>
    <cellStyle name="40% - Accent5 3 2 3 2 5" xfId="4056" xr:uid="{662BA1E7-A67C-4D3E-B8D6-BF4756486C3A}"/>
    <cellStyle name="40% - Accent5 3 2 3 2 5 2" xfId="8215" xr:uid="{445ADB79-FC33-4ED5-B2F2-8E8575F0CD9C}"/>
    <cellStyle name="40% - Accent5 3 2 3 2 6" xfId="4886" xr:uid="{49FF35E6-8B31-4FBD-BD5A-533EFB099A97}"/>
    <cellStyle name="40% - Accent5 3 2 3 2 7" xfId="9062" xr:uid="{B38A91A0-A9B7-489F-BF8C-B66E414AAD23}"/>
    <cellStyle name="40% - Accent5 3 2 3 3" xfId="1163" xr:uid="{41E65FF1-6791-44BC-BCE2-3081A52CB4D9}"/>
    <cellStyle name="40% - Accent5 3 2 3 3 2" xfId="5295" xr:uid="{39AC49F5-B3DC-4DAD-BA6F-21B7852D5D6F}"/>
    <cellStyle name="40% - Accent5 3 2 3 4" xfId="1991" xr:uid="{1140D901-4372-4C22-911A-F84576E93901}"/>
    <cellStyle name="40% - Accent5 3 2 3 4 2" xfId="6122" xr:uid="{B60F190B-6DA2-4C63-BB1B-80D998227540}"/>
    <cellStyle name="40% - Accent5 3 2 3 5" xfId="2815" xr:uid="{F81221C5-4CEF-4304-B2EF-9EFF5911F27D}"/>
    <cellStyle name="40% - Accent5 3 2 3 5 2" xfId="6946" xr:uid="{823DA0FC-459E-4E2F-98D1-4E68A6259B0C}"/>
    <cellStyle name="40% - Accent5 3 2 3 6" xfId="3639" xr:uid="{75A5B7E5-5303-427A-992B-AAA7F46D3FE6}"/>
    <cellStyle name="40% - Accent5 3 2 3 6 2" xfId="7798" xr:uid="{CEB16978-D3F4-4E56-9C4C-4125CECFCC95}"/>
    <cellStyle name="40% - Accent5 3 2 3 7" xfId="4469" xr:uid="{640BEDBC-D685-4B08-8A90-3E890606259A}"/>
    <cellStyle name="40% - Accent5 3 2 3 8" xfId="8645" xr:uid="{7462FEC3-E0C7-4365-A1AF-994AD8BCE7E5}"/>
    <cellStyle name="40% - Accent5 3 2 4" xfId="546" xr:uid="{00000000-0005-0000-0000-000091020000}"/>
    <cellStyle name="40% - Accent5 3 2 4 2" xfId="1372" xr:uid="{C0565FA9-25DB-4B71-A72F-8844CE24079C}"/>
    <cellStyle name="40% - Accent5 3 2 4 2 2" xfId="5504" xr:uid="{B2253B6C-B3A7-43A0-9873-DA5FCFAEF315}"/>
    <cellStyle name="40% - Accent5 3 2 4 3" xfId="2200" xr:uid="{2432E48F-45BD-472B-A66E-FA1A2DC88D7D}"/>
    <cellStyle name="40% - Accent5 3 2 4 3 2" xfId="6331" xr:uid="{807F28CB-CDCD-4D5F-AE82-126A235C0D8C}"/>
    <cellStyle name="40% - Accent5 3 2 4 4" xfId="3024" xr:uid="{EFEB0EEB-B0CB-4CCF-97A0-40F8EFCCDCC5}"/>
    <cellStyle name="40% - Accent5 3 2 4 4 2" xfId="7155" xr:uid="{179984B6-3019-4FFA-9B13-F88D23F79723}"/>
    <cellStyle name="40% - Accent5 3 2 4 5" xfId="3848" xr:uid="{9DA9AAE0-34D7-475B-B866-B02EACB254B9}"/>
    <cellStyle name="40% - Accent5 3 2 4 5 2" xfId="8007" xr:uid="{AC32A49A-AC3B-48F2-8827-289532841DA8}"/>
    <cellStyle name="40% - Accent5 3 2 4 6" xfId="4678" xr:uid="{EA8738E1-BDDE-429A-945D-3E0159CFCBC7}"/>
    <cellStyle name="40% - Accent5 3 2 4 7" xfId="8854" xr:uid="{08DDC269-CB85-496D-A31F-34A91E3A1597}"/>
    <cellStyle name="40% - Accent5 3 2 5" xfId="953" xr:uid="{6C8775C7-8F32-4EEC-9ED0-AC9F62F54D14}"/>
    <cellStyle name="40% - Accent5 3 2 5 2" xfId="5085" xr:uid="{7B5BFF5D-91B8-40DF-9D14-40B5A12FD38E}"/>
    <cellStyle name="40% - Accent5 3 2 6" xfId="1781" xr:uid="{A0CF764D-0989-4B55-A376-477AD24F32B6}"/>
    <cellStyle name="40% - Accent5 3 2 6 2" xfId="5912" xr:uid="{91580390-501B-4C8E-9D98-441BEBE50938}"/>
    <cellStyle name="40% - Accent5 3 2 7" xfId="2605" xr:uid="{7C3FCECB-98D7-4B36-832F-9AC8626AA465}"/>
    <cellStyle name="40% - Accent5 3 2 7 2" xfId="6736" xr:uid="{FF34BB43-2C93-410C-9DEF-8D0D0BCCA5B2}"/>
    <cellStyle name="40% - Accent5 3 2 8" xfId="3429" xr:uid="{10D9A9BB-844F-4BCE-923B-C5C7A852239E}"/>
    <cellStyle name="40% - Accent5 3 2 8 2" xfId="7588" xr:uid="{AF31FD4C-C013-40E5-BAA4-3A992F583EE6}"/>
    <cellStyle name="40% - Accent5 3 2 9" xfId="4259" xr:uid="{3B5ACF6A-7B73-4B8A-9829-844FC5F17393}"/>
    <cellStyle name="40% - Accent5 3 3" xfId="180" xr:uid="{00000000-0005-0000-0000-000092020000}"/>
    <cellStyle name="40% - Accent5 3 3 2" xfId="389" xr:uid="{00000000-0005-0000-0000-000093020000}"/>
    <cellStyle name="40% - Accent5 3 3 2 2" xfId="806" xr:uid="{00000000-0005-0000-0000-000094020000}"/>
    <cellStyle name="40% - Accent5 3 3 2 2 2" xfId="1632" xr:uid="{9F67A910-176F-438B-851A-6FB035076600}"/>
    <cellStyle name="40% - Accent5 3 3 2 2 2 2" xfId="5764" xr:uid="{AABD667B-7011-4E61-AF30-C5496773427B}"/>
    <cellStyle name="40% - Accent5 3 3 2 2 3" xfId="2460" xr:uid="{FCF3481D-EEC2-473E-8FD0-79796F275792}"/>
    <cellStyle name="40% - Accent5 3 3 2 2 3 2" xfId="6591" xr:uid="{C3495E2E-AEEB-4DAD-AEB9-2184019572A0}"/>
    <cellStyle name="40% - Accent5 3 3 2 2 4" xfId="3284" xr:uid="{5476FECE-C80B-4D77-BF5E-44B51A950B3F}"/>
    <cellStyle name="40% - Accent5 3 3 2 2 4 2" xfId="7415" xr:uid="{43AA65DD-D41C-4954-A906-7C5FA8D04DB6}"/>
    <cellStyle name="40% - Accent5 3 3 2 2 5" xfId="4108" xr:uid="{EC8F6010-BE95-4BD4-83C4-DD530D2DC747}"/>
    <cellStyle name="40% - Accent5 3 3 2 2 5 2" xfId="8267" xr:uid="{0635B56B-24C5-4FDE-BA83-7BFB664CA6B5}"/>
    <cellStyle name="40% - Accent5 3 3 2 2 6" xfId="4938" xr:uid="{641430F6-4453-4973-AE2A-DCDE4834E947}"/>
    <cellStyle name="40% - Accent5 3 3 2 2 7" xfId="9114" xr:uid="{A975BF02-90F9-48F2-8485-90A32AF8BF4C}"/>
    <cellStyle name="40% - Accent5 3 3 2 3" xfId="1215" xr:uid="{41AA5C0C-B1CE-453F-A622-B46DCF848EE0}"/>
    <cellStyle name="40% - Accent5 3 3 2 3 2" xfId="5347" xr:uid="{A301406D-9DBD-4A09-AD15-86CD96FEA689}"/>
    <cellStyle name="40% - Accent5 3 3 2 4" xfId="2043" xr:uid="{DF2E9900-01B0-4B16-95A9-AE2EAA11595D}"/>
    <cellStyle name="40% - Accent5 3 3 2 4 2" xfId="6174" xr:uid="{B400D091-2210-4819-BE4F-BFEDE6E2CFA0}"/>
    <cellStyle name="40% - Accent5 3 3 2 5" xfId="2867" xr:uid="{046B8190-2EAA-46E5-B91C-524F0A12DE96}"/>
    <cellStyle name="40% - Accent5 3 3 2 5 2" xfId="6998" xr:uid="{255A6657-051A-4031-B67A-AA6D7FDDE25E}"/>
    <cellStyle name="40% - Accent5 3 3 2 6" xfId="3691" xr:uid="{B43CD104-5F44-47E2-93A8-ED2026FC4156}"/>
    <cellStyle name="40% - Accent5 3 3 2 6 2" xfId="7850" xr:uid="{F834ACD2-01FA-41C4-A591-8D9791BE5423}"/>
    <cellStyle name="40% - Accent5 3 3 2 7" xfId="4521" xr:uid="{F8EA2BE3-03A2-4E8E-A737-C9C16FF47A59}"/>
    <cellStyle name="40% - Accent5 3 3 2 8" xfId="8697" xr:uid="{FE6A3E56-D5F9-46C5-BB69-EB4D5150FC5A}"/>
    <cellStyle name="40% - Accent5 3 3 3" xfId="598" xr:uid="{00000000-0005-0000-0000-000095020000}"/>
    <cellStyle name="40% - Accent5 3 3 3 2" xfId="1424" xr:uid="{89B1DD30-ABE8-422D-BBC9-547F0576623E}"/>
    <cellStyle name="40% - Accent5 3 3 3 2 2" xfId="5556" xr:uid="{34A1AFE9-EF9A-4881-84EA-4B8B95BA8821}"/>
    <cellStyle name="40% - Accent5 3 3 3 3" xfId="2252" xr:uid="{C53DF775-4124-4D93-9D1C-46AFBB9F26C7}"/>
    <cellStyle name="40% - Accent5 3 3 3 3 2" xfId="6383" xr:uid="{1F93FCB1-DDBD-4370-BFAE-23A56B00F69B}"/>
    <cellStyle name="40% - Accent5 3 3 3 4" xfId="3076" xr:uid="{078F50C5-73C0-43A7-9740-CAA3B2BB0169}"/>
    <cellStyle name="40% - Accent5 3 3 3 4 2" xfId="7207" xr:uid="{C342E9BB-82CB-45BC-A70B-6B1A094D1F03}"/>
    <cellStyle name="40% - Accent5 3 3 3 5" xfId="3900" xr:uid="{E016BD0D-3797-4AB4-BD6E-7786CD12F70C}"/>
    <cellStyle name="40% - Accent5 3 3 3 5 2" xfId="8059" xr:uid="{9D6A60A3-ADDC-47BF-8DEA-2ACEF2A0A29B}"/>
    <cellStyle name="40% - Accent5 3 3 3 6" xfId="4730" xr:uid="{1B3D40AB-5525-48AD-B847-76EA74FFBE5E}"/>
    <cellStyle name="40% - Accent5 3 3 3 7" xfId="8906" xr:uid="{D11ACD9A-32F7-4385-A4C4-05CAAAC47B06}"/>
    <cellStyle name="40% - Accent5 3 3 4" xfId="1006" xr:uid="{154E586C-26D2-4A7E-9968-88DD20FB48AB}"/>
    <cellStyle name="40% - Accent5 3 3 4 2" xfId="5138" xr:uid="{CB0D4C0A-D085-4582-820D-CDCB76BAE946}"/>
    <cellStyle name="40% - Accent5 3 3 5" xfId="1834" xr:uid="{A3351E41-48D1-4D7D-B80D-69D2CAA2A91E}"/>
    <cellStyle name="40% - Accent5 3 3 5 2" xfId="5965" xr:uid="{ED972822-2070-44DA-A197-FC915C3FE1E0}"/>
    <cellStyle name="40% - Accent5 3 3 6" xfId="2658" xr:uid="{AC440E5D-D0F1-4232-AEE6-EABFE72C9DDA}"/>
    <cellStyle name="40% - Accent5 3 3 6 2" xfId="6789" xr:uid="{9E36C0A5-4A8E-4F31-92C1-B940AD687458}"/>
    <cellStyle name="40% - Accent5 3 3 7" xfId="3482" xr:uid="{5EC6DD1C-DD11-4511-AB9B-F1DE29AEDC10}"/>
    <cellStyle name="40% - Accent5 3 3 7 2" xfId="7641" xr:uid="{886386C1-FCCD-4C0A-A735-B495A7D7AF92}"/>
    <cellStyle name="40% - Accent5 3 3 8" xfId="4312" xr:uid="{BAD9786D-7F3A-4213-9A98-F5A84A6DB471}"/>
    <cellStyle name="40% - Accent5 3 3 9" xfId="8488" xr:uid="{5251DE43-FE2E-4AE3-8E61-F6CEF7DDBFA5}"/>
    <cellStyle name="40% - Accent5 3 4" xfId="285" xr:uid="{00000000-0005-0000-0000-000096020000}"/>
    <cellStyle name="40% - Accent5 3 4 2" xfId="702" xr:uid="{00000000-0005-0000-0000-000097020000}"/>
    <cellStyle name="40% - Accent5 3 4 2 2" xfId="1528" xr:uid="{6113D87B-2AB5-46AE-B69C-B145E37E14D2}"/>
    <cellStyle name="40% - Accent5 3 4 2 2 2" xfId="5660" xr:uid="{9C63E5AC-C45A-4402-9189-6989EAC0C124}"/>
    <cellStyle name="40% - Accent5 3 4 2 3" xfId="2356" xr:uid="{374AF3C6-D225-453A-9F0A-43837D588065}"/>
    <cellStyle name="40% - Accent5 3 4 2 3 2" xfId="6487" xr:uid="{FCA9BD2B-48F0-4A24-B710-330039174958}"/>
    <cellStyle name="40% - Accent5 3 4 2 4" xfId="3180" xr:uid="{1D5E2A58-3D70-408C-9735-90693DB60A84}"/>
    <cellStyle name="40% - Accent5 3 4 2 4 2" xfId="7311" xr:uid="{89B88BC8-D8B1-461F-9002-063F38FC4065}"/>
    <cellStyle name="40% - Accent5 3 4 2 5" xfId="4004" xr:uid="{D69463EE-141A-422A-8402-C9E3CAA725B2}"/>
    <cellStyle name="40% - Accent5 3 4 2 5 2" xfId="8163" xr:uid="{77703030-FC87-4649-9F0C-534F71775ECA}"/>
    <cellStyle name="40% - Accent5 3 4 2 6" xfId="4834" xr:uid="{4ED628EE-6312-484C-B022-BA9CF0129163}"/>
    <cellStyle name="40% - Accent5 3 4 2 7" xfId="9010" xr:uid="{F46E90E8-5007-4E81-8A53-1E80D890DD32}"/>
    <cellStyle name="40% - Accent5 3 4 3" xfId="1111" xr:uid="{3E828A15-7D57-42A3-92BB-4241FA58DFA5}"/>
    <cellStyle name="40% - Accent5 3 4 3 2" xfId="5243" xr:uid="{F76AC4DC-3E34-45A2-A4B8-C267C8AA1AD7}"/>
    <cellStyle name="40% - Accent5 3 4 4" xfId="1939" xr:uid="{EDB2C4BA-5199-4F37-A93F-B024094AEE36}"/>
    <cellStyle name="40% - Accent5 3 4 4 2" xfId="6070" xr:uid="{967D0957-593C-4642-8927-F2B7D8496F71}"/>
    <cellStyle name="40% - Accent5 3 4 5" xfId="2763" xr:uid="{00ABCE61-29FB-4F43-8711-37AEFE3B999B}"/>
    <cellStyle name="40% - Accent5 3 4 5 2" xfId="6894" xr:uid="{749E9C51-3981-48D4-8173-FF2C95F54158}"/>
    <cellStyle name="40% - Accent5 3 4 6" xfId="3587" xr:uid="{8F40FADE-E215-420E-8F1A-19C37197B60E}"/>
    <cellStyle name="40% - Accent5 3 4 6 2" xfId="7746" xr:uid="{46C5520B-6B23-402F-94B2-265AA43C8E6F}"/>
    <cellStyle name="40% - Accent5 3 4 7" xfId="4417" xr:uid="{0AACA700-D070-4281-8585-1733F30CD61E}"/>
    <cellStyle name="40% - Accent5 3 4 8" xfId="8593" xr:uid="{1870DCC7-1AE2-4E83-931B-493B048D87A7}"/>
    <cellStyle name="40% - Accent5 3 5" xfId="494" xr:uid="{00000000-0005-0000-0000-000098020000}"/>
    <cellStyle name="40% - Accent5 3 5 2" xfId="1320" xr:uid="{825F335A-033A-43DD-9C19-EE8D380C8B42}"/>
    <cellStyle name="40% - Accent5 3 5 2 2" xfId="5452" xr:uid="{67863296-E046-499A-B1EE-AE13BEA6CBAD}"/>
    <cellStyle name="40% - Accent5 3 5 3" xfId="2148" xr:uid="{9438E2BB-357B-4A1A-9698-8298F0E71437}"/>
    <cellStyle name="40% - Accent5 3 5 3 2" xfId="6279" xr:uid="{ABA2509F-1BDE-4167-B62A-7F3BC1B91B8A}"/>
    <cellStyle name="40% - Accent5 3 5 4" xfId="2972" xr:uid="{2450D8B2-2FE6-48D7-83D9-8ADBC8E5C18F}"/>
    <cellStyle name="40% - Accent5 3 5 4 2" xfId="7103" xr:uid="{1EF828E7-82D1-42DC-A90A-5C902429EB62}"/>
    <cellStyle name="40% - Accent5 3 5 5" xfId="3796" xr:uid="{90893092-3387-4F6A-A4C6-7D9BA1ECD2A8}"/>
    <cellStyle name="40% - Accent5 3 5 5 2" xfId="7955" xr:uid="{49DAC674-0BD8-4895-91CB-498810BA3A5B}"/>
    <cellStyle name="40% - Accent5 3 5 6" xfId="4626" xr:uid="{032C00C4-616D-4612-B895-0670CCBBF624}"/>
    <cellStyle name="40% - Accent5 3 5 7" xfId="8802" xr:uid="{E46A639A-C848-41B5-888E-401C851D4585}"/>
    <cellStyle name="40% - Accent5 3 6" xfId="900" xr:uid="{98C3523A-2B82-4E40-90DF-2A4DDD7691DD}"/>
    <cellStyle name="40% - Accent5 3 6 2" xfId="5032" xr:uid="{4A3BC36B-2F77-4400-9C6D-C81028710131}"/>
    <cellStyle name="40% - Accent5 3 7" xfId="1728" xr:uid="{79D2C9EB-FB12-4595-AB7C-A88DFCC6059B}"/>
    <cellStyle name="40% - Accent5 3 7 2" xfId="5859" xr:uid="{88F65B88-5689-4764-80A6-4CD639569AF8}"/>
    <cellStyle name="40% - Accent5 3 8" xfId="2552" xr:uid="{35759646-3878-4422-9705-F5CE2C184C37}"/>
    <cellStyle name="40% - Accent5 3 8 2" xfId="6683" xr:uid="{9820DEB0-F187-4EA5-AA19-FFC7A2747485}"/>
    <cellStyle name="40% - Accent5 3 9" xfId="3376" xr:uid="{66288CEC-C80D-4F9E-8698-BBA260EA2DBE}"/>
    <cellStyle name="40% - Accent5 3 9 2" xfId="7535" xr:uid="{DC89849A-F59A-41F7-86C3-7E6AD7536319}"/>
    <cellStyle name="40% - Accent5 4" xfId="87" xr:uid="{00000000-0005-0000-0000-000099020000}"/>
    <cellStyle name="40% - Accent5 4 10" xfId="8395" xr:uid="{7E3D0711-B8DF-484E-92D8-19C0C851293A}"/>
    <cellStyle name="40% - Accent5 4 2" xfId="193" xr:uid="{00000000-0005-0000-0000-00009A020000}"/>
    <cellStyle name="40% - Accent5 4 2 2" xfId="402" xr:uid="{00000000-0005-0000-0000-00009B020000}"/>
    <cellStyle name="40% - Accent5 4 2 2 2" xfId="819" xr:uid="{00000000-0005-0000-0000-00009C020000}"/>
    <cellStyle name="40% - Accent5 4 2 2 2 2" xfId="1645" xr:uid="{391E2594-326C-45DB-85BE-026F30458D73}"/>
    <cellStyle name="40% - Accent5 4 2 2 2 2 2" xfId="5777" xr:uid="{94CBF54E-B913-4822-A911-32263B768D38}"/>
    <cellStyle name="40% - Accent5 4 2 2 2 3" xfId="2473" xr:uid="{CFE15411-EFCD-4B3F-8A6F-EA92C8A59297}"/>
    <cellStyle name="40% - Accent5 4 2 2 2 3 2" xfId="6604" xr:uid="{0BFBFAF8-DF89-46EC-A506-8160D1228E8C}"/>
    <cellStyle name="40% - Accent5 4 2 2 2 4" xfId="3297" xr:uid="{0CBCFC47-1064-4492-B2A2-8C359975EE31}"/>
    <cellStyle name="40% - Accent5 4 2 2 2 4 2" xfId="7428" xr:uid="{A39118DC-C5A0-48DB-AF64-CF4293CD01E5}"/>
    <cellStyle name="40% - Accent5 4 2 2 2 5" xfId="4121" xr:uid="{F3165892-5856-41AC-BAB3-767A958B51C0}"/>
    <cellStyle name="40% - Accent5 4 2 2 2 5 2" xfId="8280" xr:uid="{DCE6C9C0-93FA-4A3C-AF8D-888D7BE4D69A}"/>
    <cellStyle name="40% - Accent5 4 2 2 2 6" xfId="4951" xr:uid="{EBEC25F0-7128-45D9-9F7D-9E51CE8A8F61}"/>
    <cellStyle name="40% - Accent5 4 2 2 2 7" xfId="9127" xr:uid="{FC6ABA27-34F3-49E8-8A6E-A095BB7A39E7}"/>
    <cellStyle name="40% - Accent5 4 2 2 3" xfId="1228" xr:uid="{56D119DD-D433-402B-AFD0-D370AD1EBCAC}"/>
    <cellStyle name="40% - Accent5 4 2 2 3 2" xfId="5360" xr:uid="{5F973D7B-4894-4CF2-A0BB-575D871A049B}"/>
    <cellStyle name="40% - Accent5 4 2 2 4" xfId="2056" xr:uid="{F8464F7F-4405-4345-A9B4-B2E83A8894D7}"/>
    <cellStyle name="40% - Accent5 4 2 2 4 2" xfId="6187" xr:uid="{82FBBC9C-E9A4-4687-A402-84C1FB095CF6}"/>
    <cellStyle name="40% - Accent5 4 2 2 5" xfId="2880" xr:uid="{C680BF89-0436-43AD-B693-7D24C33ABA34}"/>
    <cellStyle name="40% - Accent5 4 2 2 5 2" xfId="7011" xr:uid="{E92BD233-AA92-4CAF-B8C2-C2B1510CD435}"/>
    <cellStyle name="40% - Accent5 4 2 2 6" xfId="3704" xr:uid="{46CCC42F-0404-46D4-8E63-703CCB89686C}"/>
    <cellStyle name="40% - Accent5 4 2 2 6 2" xfId="7863" xr:uid="{808A5BEE-205B-4848-8069-564282B61F5C}"/>
    <cellStyle name="40% - Accent5 4 2 2 7" xfId="4534" xr:uid="{B89CDC74-21F9-4B1E-A96B-BEF7403BCB75}"/>
    <cellStyle name="40% - Accent5 4 2 2 8" xfId="8710" xr:uid="{192A8431-713D-42C7-B5B1-540CA50F96ED}"/>
    <cellStyle name="40% - Accent5 4 2 3" xfId="611" xr:uid="{00000000-0005-0000-0000-00009D020000}"/>
    <cellStyle name="40% - Accent5 4 2 3 2" xfId="1437" xr:uid="{663E02DB-7C36-4BD2-8873-C64088C3F990}"/>
    <cellStyle name="40% - Accent5 4 2 3 2 2" xfId="5569" xr:uid="{37E1F969-AE7F-4E53-87D2-E7062BB25A53}"/>
    <cellStyle name="40% - Accent5 4 2 3 3" xfId="2265" xr:uid="{14588223-CFD8-46DF-A9FE-F290017491B4}"/>
    <cellStyle name="40% - Accent5 4 2 3 3 2" xfId="6396" xr:uid="{5649CD0D-8D62-49F6-AD42-182CE609058E}"/>
    <cellStyle name="40% - Accent5 4 2 3 4" xfId="3089" xr:uid="{DA43508F-7AFD-44EA-9F13-6AAF493E44B5}"/>
    <cellStyle name="40% - Accent5 4 2 3 4 2" xfId="7220" xr:uid="{54F0E85F-5373-40BB-BB97-7C2DC69764A2}"/>
    <cellStyle name="40% - Accent5 4 2 3 5" xfId="3913" xr:uid="{84B7E9A6-509D-40AD-AFB0-E5240504CB7A}"/>
    <cellStyle name="40% - Accent5 4 2 3 5 2" xfId="8072" xr:uid="{22C3648A-E38B-41FE-B1C0-EB5093F12B27}"/>
    <cellStyle name="40% - Accent5 4 2 3 6" xfId="4743" xr:uid="{1E595088-89AA-4E5D-9336-4649A1C71E74}"/>
    <cellStyle name="40% - Accent5 4 2 3 7" xfId="8919" xr:uid="{52BD166D-ED06-47FC-8F11-6EA33F78CA93}"/>
    <cellStyle name="40% - Accent5 4 2 4" xfId="1019" xr:uid="{F4F32696-B21E-4555-8AC0-E2506EC16ED0}"/>
    <cellStyle name="40% - Accent5 4 2 4 2" xfId="5151" xr:uid="{9D32248E-B352-48CC-8021-1DAAA2106CD7}"/>
    <cellStyle name="40% - Accent5 4 2 5" xfId="1847" xr:uid="{E284F057-6C71-4597-B2F2-598AFE72E852}"/>
    <cellStyle name="40% - Accent5 4 2 5 2" xfId="5978" xr:uid="{944A7C3E-C977-452C-8642-DD78C8C39E62}"/>
    <cellStyle name="40% - Accent5 4 2 6" xfId="2671" xr:uid="{9D9C1EE9-235B-46D2-9D09-117A71DC55EB}"/>
    <cellStyle name="40% - Accent5 4 2 6 2" xfId="6802" xr:uid="{CD755C63-5B8F-4042-A4BF-94EDA253AA81}"/>
    <cellStyle name="40% - Accent5 4 2 7" xfId="3495" xr:uid="{73CD7992-DE08-4647-994F-99D9D83BE000}"/>
    <cellStyle name="40% - Accent5 4 2 7 2" xfId="7654" xr:uid="{6ED39E84-4848-4666-AC1A-5012837CE8B8}"/>
    <cellStyle name="40% - Accent5 4 2 8" xfId="4325" xr:uid="{DF46EF8B-184F-4926-8A92-0045A64AA5FB}"/>
    <cellStyle name="40% - Accent5 4 2 9" xfId="8501" xr:uid="{65BBC1F9-678F-4EA4-9D65-C920456255CB}"/>
    <cellStyle name="40% - Accent5 4 3" xfId="298" xr:uid="{00000000-0005-0000-0000-00009E020000}"/>
    <cellStyle name="40% - Accent5 4 3 2" xfId="715" xr:uid="{00000000-0005-0000-0000-00009F020000}"/>
    <cellStyle name="40% - Accent5 4 3 2 2" xfId="1541" xr:uid="{576C0325-B2C3-439A-A48C-3A39C0061939}"/>
    <cellStyle name="40% - Accent5 4 3 2 2 2" xfId="5673" xr:uid="{54D09317-DC99-4036-92DD-D9084F9F6C5B}"/>
    <cellStyle name="40% - Accent5 4 3 2 3" xfId="2369" xr:uid="{79C27BF3-3C00-4BB0-BD13-42B11D43DBB8}"/>
    <cellStyle name="40% - Accent5 4 3 2 3 2" xfId="6500" xr:uid="{BAABD371-C1EC-4725-93E4-F18120F1E02C}"/>
    <cellStyle name="40% - Accent5 4 3 2 4" xfId="3193" xr:uid="{D555D325-E054-48FD-9808-5D0D39BDAC9C}"/>
    <cellStyle name="40% - Accent5 4 3 2 4 2" xfId="7324" xr:uid="{8B1D1754-2330-423D-B190-E136028B0412}"/>
    <cellStyle name="40% - Accent5 4 3 2 5" xfId="4017" xr:uid="{6AC22C0A-CDB3-42DB-8027-CD75811AF72E}"/>
    <cellStyle name="40% - Accent5 4 3 2 5 2" xfId="8176" xr:uid="{652FE44B-B693-4E4D-8AFE-2EFB76E06039}"/>
    <cellStyle name="40% - Accent5 4 3 2 6" xfId="4847" xr:uid="{A4558494-5366-4B4E-884C-1173B13C1630}"/>
    <cellStyle name="40% - Accent5 4 3 2 7" xfId="9023" xr:uid="{CECA0D86-81E1-4828-878D-C7262C4DA236}"/>
    <cellStyle name="40% - Accent5 4 3 3" xfId="1124" xr:uid="{202BB8D9-29FA-435E-95AE-5DBB6A593AEB}"/>
    <cellStyle name="40% - Accent5 4 3 3 2" xfId="5256" xr:uid="{B4B9527A-29AF-4C17-8271-A7E7AC37E233}"/>
    <cellStyle name="40% - Accent5 4 3 4" xfId="1952" xr:uid="{71FA3A6E-6C3A-4D16-B9A7-79D4075D57B7}"/>
    <cellStyle name="40% - Accent5 4 3 4 2" xfId="6083" xr:uid="{FE7CF454-CDAC-4037-B634-C8EBFF4A66EC}"/>
    <cellStyle name="40% - Accent5 4 3 5" xfId="2776" xr:uid="{3579943F-7488-47DF-9572-AE5BAEF03D92}"/>
    <cellStyle name="40% - Accent5 4 3 5 2" xfId="6907" xr:uid="{941751F7-A3B1-4211-86E2-FF75AF7D13FB}"/>
    <cellStyle name="40% - Accent5 4 3 6" xfId="3600" xr:uid="{D4AA762B-7C72-4F4A-948B-643D3AC469CE}"/>
    <cellStyle name="40% - Accent5 4 3 6 2" xfId="7759" xr:uid="{3A438F4D-8B5E-4146-A68F-118535BCCA96}"/>
    <cellStyle name="40% - Accent5 4 3 7" xfId="4430" xr:uid="{B05A3E34-3F6D-4C82-8990-F257DBD89629}"/>
    <cellStyle name="40% - Accent5 4 3 8" xfId="8606" xr:uid="{AF76F367-E9FD-4672-AFA1-2A57F3BF17DF}"/>
    <cellStyle name="40% - Accent5 4 4" xfId="507" xr:uid="{00000000-0005-0000-0000-0000A0020000}"/>
    <cellStyle name="40% - Accent5 4 4 2" xfId="1333" xr:uid="{A2551DDC-72BC-4B1E-8163-8E7DD98DFB83}"/>
    <cellStyle name="40% - Accent5 4 4 2 2" xfId="5465" xr:uid="{0457CFEF-5949-46AE-B982-7C4A0E7DAF3C}"/>
    <cellStyle name="40% - Accent5 4 4 3" xfId="2161" xr:uid="{1FF0C6F4-EF04-43BF-9936-DAC155751186}"/>
    <cellStyle name="40% - Accent5 4 4 3 2" xfId="6292" xr:uid="{F475307C-780F-4D06-9F12-759516319D08}"/>
    <cellStyle name="40% - Accent5 4 4 4" xfId="2985" xr:uid="{F70E3B22-10E2-495A-B585-D9123331F5E4}"/>
    <cellStyle name="40% - Accent5 4 4 4 2" xfId="7116" xr:uid="{6CD6BCB2-7D52-4C82-8371-394B161F9150}"/>
    <cellStyle name="40% - Accent5 4 4 5" xfId="3809" xr:uid="{EB717E48-2341-473F-ACB0-2A31BA757756}"/>
    <cellStyle name="40% - Accent5 4 4 5 2" xfId="7968" xr:uid="{3396CAC5-AC9A-4DFC-97CB-76A627B04E68}"/>
    <cellStyle name="40% - Accent5 4 4 6" xfId="4639" xr:uid="{E56E34E0-FDE9-4D14-9339-0D9B75E334B0}"/>
    <cellStyle name="40% - Accent5 4 4 7" xfId="8815" xr:uid="{502624C5-B571-4A8B-98E1-84C39F75C99D}"/>
    <cellStyle name="40% - Accent5 4 5" xfId="913" xr:uid="{5D5E0978-B603-432F-83BB-1244644963E1}"/>
    <cellStyle name="40% - Accent5 4 5 2" xfId="5045" xr:uid="{FC43CE36-67E9-48BC-8B61-F4861C1427E3}"/>
    <cellStyle name="40% - Accent5 4 6" xfId="1741" xr:uid="{02C348C3-4D59-45D8-8649-B407D15ED41E}"/>
    <cellStyle name="40% - Accent5 4 6 2" xfId="5872" xr:uid="{F22786EB-2FC8-4A28-9043-4CFA6EE8E424}"/>
    <cellStyle name="40% - Accent5 4 7" xfId="2565" xr:uid="{85528CE6-470C-4E0C-BCCC-B65FF9BD0BAC}"/>
    <cellStyle name="40% - Accent5 4 7 2" xfId="6696" xr:uid="{51C40BA3-6808-441D-A4B4-FDD416CF98C9}"/>
    <cellStyle name="40% - Accent5 4 8" xfId="3389" xr:uid="{2329DEB3-1A3F-40CD-A2D1-99F0644FF157}"/>
    <cellStyle name="40% - Accent5 4 8 2" xfId="7548" xr:uid="{28B83F2E-E8ED-4E21-8691-EBAADA283E4A}"/>
    <cellStyle name="40% - Accent5 4 9" xfId="4219" xr:uid="{41649432-D27D-4D46-944B-9DB977AC3F81}"/>
    <cellStyle name="40% - Accent5 5" xfId="100" xr:uid="{00000000-0005-0000-0000-0000A1020000}"/>
    <cellStyle name="40% - Accent5 5 10" xfId="8408" xr:uid="{DD0B4C91-0AAF-4934-8597-194520CF068A}"/>
    <cellStyle name="40% - Accent5 5 2" xfId="205" xr:uid="{00000000-0005-0000-0000-0000A2020000}"/>
    <cellStyle name="40% - Accent5 5 2 2" xfId="414" xr:uid="{00000000-0005-0000-0000-0000A3020000}"/>
    <cellStyle name="40% - Accent5 5 2 2 2" xfId="831" xr:uid="{00000000-0005-0000-0000-0000A4020000}"/>
    <cellStyle name="40% - Accent5 5 2 2 2 2" xfId="1657" xr:uid="{27CA1813-6535-43CE-9CCD-E9682DC73170}"/>
    <cellStyle name="40% - Accent5 5 2 2 2 2 2" xfId="5789" xr:uid="{66AC64EE-905F-4955-9DF2-E347B797C5B3}"/>
    <cellStyle name="40% - Accent5 5 2 2 2 3" xfId="2485" xr:uid="{A8B34B93-281B-4EED-ADAD-C16624E4DA8D}"/>
    <cellStyle name="40% - Accent5 5 2 2 2 3 2" xfId="6616" xr:uid="{62B1D8DD-A201-4C83-A0BB-C210F403A8A8}"/>
    <cellStyle name="40% - Accent5 5 2 2 2 4" xfId="3309" xr:uid="{F51B787E-4840-48F9-B1E4-60BA64A75503}"/>
    <cellStyle name="40% - Accent5 5 2 2 2 4 2" xfId="7440" xr:uid="{F907E9BE-1732-489D-89F0-04CD2651AA6F}"/>
    <cellStyle name="40% - Accent5 5 2 2 2 5" xfId="4133" xr:uid="{4D65CD38-CC2C-472D-B182-707F04ADF8E5}"/>
    <cellStyle name="40% - Accent5 5 2 2 2 5 2" xfId="8292" xr:uid="{E62BAB35-5854-4A8A-B412-ABE08936840D}"/>
    <cellStyle name="40% - Accent5 5 2 2 2 6" xfId="4963" xr:uid="{B11C21F3-4AD0-4EA4-8B5D-DBF75ED5170B}"/>
    <cellStyle name="40% - Accent5 5 2 2 2 7" xfId="9139" xr:uid="{7CE90D68-9EB5-4959-A178-C1F0A073026E}"/>
    <cellStyle name="40% - Accent5 5 2 2 3" xfId="1240" xr:uid="{1A7E0B20-ED94-4A29-81C1-F82AFDC91B21}"/>
    <cellStyle name="40% - Accent5 5 2 2 3 2" xfId="5372" xr:uid="{AB1E41CF-9FDB-47A8-A645-94237AE42D31}"/>
    <cellStyle name="40% - Accent5 5 2 2 4" xfId="2068" xr:uid="{2067B1F9-6216-4B8F-B53F-C3F310D21A40}"/>
    <cellStyle name="40% - Accent5 5 2 2 4 2" xfId="6199" xr:uid="{8E5A00D8-3B47-469C-9FF2-42B5D12DA220}"/>
    <cellStyle name="40% - Accent5 5 2 2 5" xfId="2892" xr:uid="{2CB155F3-E8AF-4A2B-8B71-60785A7A497C}"/>
    <cellStyle name="40% - Accent5 5 2 2 5 2" xfId="7023" xr:uid="{36C3F0A1-2180-41BC-8D74-82C0506B8730}"/>
    <cellStyle name="40% - Accent5 5 2 2 6" xfId="3716" xr:uid="{E3F21B82-FFB4-4C82-8868-CD0000B70037}"/>
    <cellStyle name="40% - Accent5 5 2 2 6 2" xfId="7875" xr:uid="{C6D84EB0-1A9A-4B67-B6CC-E8C9BAAEE7F4}"/>
    <cellStyle name="40% - Accent5 5 2 2 7" xfId="4546" xr:uid="{5EC7EF4D-87AE-492F-9950-3CE32F9F0219}"/>
    <cellStyle name="40% - Accent5 5 2 2 8" xfId="8722" xr:uid="{FEE6CAE9-64F3-4288-8FA0-E011532F7C17}"/>
    <cellStyle name="40% - Accent5 5 2 3" xfId="623" xr:uid="{00000000-0005-0000-0000-0000A5020000}"/>
    <cellStyle name="40% - Accent5 5 2 3 2" xfId="1449" xr:uid="{0CE767FB-5F5F-41AC-A60B-DAA3BE290DAD}"/>
    <cellStyle name="40% - Accent5 5 2 3 2 2" xfId="5581" xr:uid="{B1D20113-F932-494A-9944-3FF44405B9D8}"/>
    <cellStyle name="40% - Accent5 5 2 3 3" xfId="2277" xr:uid="{3B32BA78-0C4F-4498-8AD6-E13ADA938EAF}"/>
    <cellStyle name="40% - Accent5 5 2 3 3 2" xfId="6408" xr:uid="{EE6FF14E-721D-47B4-A991-15FE84DB255D}"/>
    <cellStyle name="40% - Accent5 5 2 3 4" xfId="3101" xr:uid="{69769B5C-BCBE-4CF7-990B-6BC863F6F252}"/>
    <cellStyle name="40% - Accent5 5 2 3 4 2" xfId="7232" xr:uid="{E576B057-645A-4615-A526-C15B015077A0}"/>
    <cellStyle name="40% - Accent5 5 2 3 5" xfId="3925" xr:uid="{7F235BA0-671F-4768-A415-43B5C7B48EC5}"/>
    <cellStyle name="40% - Accent5 5 2 3 5 2" xfId="8084" xr:uid="{31B7F494-3DFF-4AE5-9648-A04C950F0995}"/>
    <cellStyle name="40% - Accent5 5 2 3 6" xfId="4755" xr:uid="{A112E748-877F-40B4-846B-DD870BD9C77A}"/>
    <cellStyle name="40% - Accent5 5 2 3 7" xfId="8931" xr:uid="{1EA64755-F0B0-453C-91D6-73033DD84C51}"/>
    <cellStyle name="40% - Accent5 5 2 4" xfId="1031" xr:uid="{AADE3C86-270E-4931-A8EE-BCF26211D8C4}"/>
    <cellStyle name="40% - Accent5 5 2 4 2" xfId="5163" xr:uid="{1B4BE07A-95CC-4284-B19A-F64717E0BDB4}"/>
    <cellStyle name="40% - Accent5 5 2 5" xfId="1859" xr:uid="{93464E70-F05A-49C4-9997-0EB193D59CCE}"/>
    <cellStyle name="40% - Accent5 5 2 5 2" xfId="5990" xr:uid="{B9BBA283-4295-493F-9763-830368EA62B2}"/>
    <cellStyle name="40% - Accent5 5 2 6" xfId="2683" xr:uid="{7630F62A-923A-4180-A82F-B2E508C264B0}"/>
    <cellStyle name="40% - Accent5 5 2 6 2" xfId="6814" xr:uid="{89B39D60-B75E-4519-81BD-51DAE7870180}"/>
    <cellStyle name="40% - Accent5 5 2 7" xfId="3507" xr:uid="{EC59AB2E-64A3-4499-A352-1FE65CAE6270}"/>
    <cellStyle name="40% - Accent5 5 2 7 2" xfId="7666" xr:uid="{3E83813D-978F-4170-9268-1C783B7C7915}"/>
    <cellStyle name="40% - Accent5 5 2 8" xfId="4337" xr:uid="{C9B5BDCF-2E3D-4F4C-8C2A-CCAD920D0133}"/>
    <cellStyle name="40% - Accent5 5 2 9" xfId="8513" xr:uid="{416B3676-99D3-4D3B-AF80-E0B5644BF743}"/>
    <cellStyle name="40% - Accent5 5 3" xfId="310" xr:uid="{00000000-0005-0000-0000-0000A6020000}"/>
    <cellStyle name="40% - Accent5 5 3 2" xfId="727" xr:uid="{00000000-0005-0000-0000-0000A7020000}"/>
    <cellStyle name="40% - Accent5 5 3 2 2" xfId="1553" xr:uid="{B072CBD2-615C-4271-9645-2C2BC44D64CF}"/>
    <cellStyle name="40% - Accent5 5 3 2 2 2" xfId="5685" xr:uid="{643A4067-05E3-41BC-9383-16360CD6454C}"/>
    <cellStyle name="40% - Accent5 5 3 2 3" xfId="2381" xr:uid="{74C49E16-68F7-4BF4-BF79-9F0417B47A16}"/>
    <cellStyle name="40% - Accent5 5 3 2 3 2" xfId="6512" xr:uid="{0BF6DA08-97F2-4A8D-8140-D6D30048788C}"/>
    <cellStyle name="40% - Accent5 5 3 2 4" xfId="3205" xr:uid="{AE4BDAED-72AA-4E2E-9D87-0BD5CAD5BB29}"/>
    <cellStyle name="40% - Accent5 5 3 2 4 2" xfId="7336" xr:uid="{F9FFD3BB-2C1C-4DFD-B229-0593AC1009AB}"/>
    <cellStyle name="40% - Accent5 5 3 2 5" xfId="4029" xr:uid="{F0AA70F7-367C-423F-9671-4CF53FA919EE}"/>
    <cellStyle name="40% - Accent5 5 3 2 5 2" xfId="8188" xr:uid="{DFE01384-A797-4521-A221-1694BF8BB07F}"/>
    <cellStyle name="40% - Accent5 5 3 2 6" xfId="4859" xr:uid="{63544697-F39B-4144-9EDB-895604AC3E22}"/>
    <cellStyle name="40% - Accent5 5 3 2 7" xfId="9035" xr:uid="{A2D318A5-8BAC-4C08-B34D-6FDC777946A2}"/>
    <cellStyle name="40% - Accent5 5 3 3" xfId="1136" xr:uid="{F9048BCF-02AE-438A-A4B0-20196C5BA24B}"/>
    <cellStyle name="40% - Accent5 5 3 3 2" xfId="5268" xr:uid="{F4D63E07-BD39-46C1-829F-FDC9269E0EF1}"/>
    <cellStyle name="40% - Accent5 5 3 4" xfId="1964" xr:uid="{DC9781E6-B7A9-4E98-A54B-461A0EC2993A}"/>
    <cellStyle name="40% - Accent5 5 3 4 2" xfId="6095" xr:uid="{4CBC17EC-BB20-4183-93AA-89CE22D1DE95}"/>
    <cellStyle name="40% - Accent5 5 3 5" xfId="2788" xr:uid="{A8B8E98F-DBE4-47BA-81B2-B88E7D05F305}"/>
    <cellStyle name="40% - Accent5 5 3 5 2" xfId="6919" xr:uid="{D6CEA54D-2260-4E83-A0FD-E2FFC191CAF7}"/>
    <cellStyle name="40% - Accent5 5 3 6" xfId="3612" xr:uid="{629CBE30-F89D-4245-B161-B128B8461EDB}"/>
    <cellStyle name="40% - Accent5 5 3 6 2" xfId="7771" xr:uid="{2A3A58D0-6CB7-41E7-953F-DC9B9D06481B}"/>
    <cellStyle name="40% - Accent5 5 3 7" xfId="4442" xr:uid="{1706A9E6-306F-4608-A62D-45BBCDF115C6}"/>
    <cellStyle name="40% - Accent5 5 3 8" xfId="8618" xr:uid="{3A9912F1-BBC9-4102-9F29-AD221989051B}"/>
    <cellStyle name="40% - Accent5 5 4" xfId="519" xr:uid="{00000000-0005-0000-0000-0000A8020000}"/>
    <cellStyle name="40% - Accent5 5 4 2" xfId="1345" xr:uid="{30E48482-355A-4CD5-88D7-3B5F7CF165D9}"/>
    <cellStyle name="40% - Accent5 5 4 2 2" xfId="5477" xr:uid="{1DC6AD6A-CCCA-46EE-A27C-C5EA8EBBC0C3}"/>
    <cellStyle name="40% - Accent5 5 4 3" xfId="2173" xr:uid="{398006AC-6A83-4E52-9EBF-A2899015A494}"/>
    <cellStyle name="40% - Accent5 5 4 3 2" xfId="6304" xr:uid="{F8E5F834-0DA5-4F06-B006-CEB3A7FEC6F3}"/>
    <cellStyle name="40% - Accent5 5 4 4" xfId="2997" xr:uid="{189CA55F-E2A2-47F4-85BD-3B3F18E5A81D}"/>
    <cellStyle name="40% - Accent5 5 4 4 2" xfId="7128" xr:uid="{F4596CA5-1F59-41BA-A1F2-5415A4713C88}"/>
    <cellStyle name="40% - Accent5 5 4 5" xfId="3821" xr:uid="{664C866F-5698-4839-B56D-BADCFBEE9FFB}"/>
    <cellStyle name="40% - Accent5 5 4 5 2" xfId="7980" xr:uid="{33DC5F77-9999-43B6-9A6A-8B8901A23218}"/>
    <cellStyle name="40% - Accent5 5 4 6" xfId="4651" xr:uid="{C53A6408-5045-4E0E-A15C-5C4CC97144EF}"/>
    <cellStyle name="40% - Accent5 5 4 7" xfId="8827" xr:uid="{79E3C646-5009-4790-A0BD-066D08771484}"/>
    <cellStyle name="40% - Accent5 5 5" xfId="926" xr:uid="{EC3ACFDE-DE61-45BE-B0F0-022F7184524C}"/>
    <cellStyle name="40% - Accent5 5 5 2" xfId="5058" xr:uid="{B4BEE0DB-5A74-4FFE-8D29-AE0483573F02}"/>
    <cellStyle name="40% - Accent5 5 6" xfId="1754" xr:uid="{2B168355-547A-41A4-BEE4-DC400CB0858F}"/>
    <cellStyle name="40% - Accent5 5 6 2" xfId="5885" xr:uid="{1917C7BD-48D2-4B4F-9B5F-B0AC88657F29}"/>
    <cellStyle name="40% - Accent5 5 7" xfId="2578" xr:uid="{6AAB7C70-9D2D-4B97-ADF3-F904929BD26C}"/>
    <cellStyle name="40% - Accent5 5 7 2" xfId="6709" xr:uid="{8C481A58-19E7-41C3-9E2D-96DF447FFCF0}"/>
    <cellStyle name="40% - Accent5 5 8" xfId="3402" xr:uid="{D49AFCCC-95CD-4940-8BC7-FE7FD7E46D91}"/>
    <cellStyle name="40% - Accent5 5 8 2" xfId="7561" xr:uid="{6F8CD848-89D5-47EF-928D-4797FF11B905}"/>
    <cellStyle name="40% - Accent5 5 9" xfId="4232" xr:uid="{2521B5F5-422C-4B54-93C8-F92FED224488}"/>
    <cellStyle name="40% - Accent5 6" xfId="140" xr:uid="{00000000-0005-0000-0000-0000A9020000}"/>
    <cellStyle name="40% - Accent5 6 2" xfId="350" xr:uid="{00000000-0005-0000-0000-0000AA020000}"/>
    <cellStyle name="40% - Accent5 6 2 2" xfId="767" xr:uid="{00000000-0005-0000-0000-0000AB020000}"/>
    <cellStyle name="40% - Accent5 6 2 2 2" xfId="1593" xr:uid="{8EE094FC-F2FC-4B96-84EC-F006E702D4F3}"/>
    <cellStyle name="40% - Accent5 6 2 2 2 2" xfId="5725" xr:uid="{65BF8E40-D7E2-4064-96D5-5506A1A942E9}"/>
    <cellStyle name="40% - Accent5 6 2 2 3" xfId="2421" xr:uid="{88155D90-6271-4393-88C9-FC47682A7985}"/>
    <cellStyle name="40% - Accent5 6 2 2 3 2" xfId="6552" xr:uid="{249ADD64-8A73-474D-A3C1-27CC9E2FE9DC}"/>
    <cellStyle name="40% - Accent5 6 2 2 4" xfId="3245" xr:uid="{6AD39EB5-4FDD-4E83-862D-7855672A7F3E}"/>
    <cellStyle name="40% - Accent5 6 2 2 4 2" xfId="7376" xr:uid="{5EE75FA8-47FB-4AFC-BF5B-6C5B9E88F3F1}"/>
    <cellStyle name="40% - Accent5 6 2 2 5" xfId="4069" xr:uid="{6FFCD759-1D14-4CD3-941E-B82EE2BC1E7F}"/>
    <cellStyle name="40% - Accent5 6 2 2 5 2" xfId="8228" xr:uid="{42F3A0B6-99CA-42FE-838A-6FCC88DD7CBE}"/>
    <cellStyle name="40% - Accent5 6 2 2 6" xfId="4899" xr:uid="{E06A7B60-4501-4426-A4A8-E286546AE488}"/>
    <cellStyle name="40% - Accent5 6 2 2 7" xfId="9075" xr:uid="{3BECEC0F-9448-4D88-8FE1-390E666A403E}"/>
    <cellStyle name="40% - Accent5 6 2 3" xfId="1176" xr:uid="{B4E9889D-3EA3-46C3-8234-5AA73EA2FB49}"/>
    <cellStyle name="40% - Accent5 6 2 3 2" xfId="5308" xr:uid="{EA34228B-88FB-4420-AC1D-F2789061F625}"/>
    <cellStyle name="40% - Accent5 6 2 4" xfId="2004" xr:uid="{F57FFF2B-B34D-41FA-8BDF-5E787C9B8A32}"/>
    <cellStyle name="40% - Accent5 6 2 4 2" xfId="6135" xr:uid="{C6EC0026-E24C-4E53-8A28-6AF1F88786E5}"/>
    <cellStyle name="40% - Accent5 6 2 5" xfId="2828" xr:uid="{583A7262-A14D-42CF-AF93-40D344E8AC89}"/>
    <cellStyle name="40% - Accent5 6 2 5 2" xfId="6959" xr:uid="{FDEB94D2-493B-4C66-9F93-293CF4FF7F80}"/>
    <cellStyle name="40% - Accent5 6 2 6" xfId="3652" xr:uid="{4605B7E4-EC9E-4F73-B00F-9343FA4D5257}"/>
    <cellStyle name="40% - Accent5 6 2 6 2" xfId="7811" xr:uid="{96EEEA2F-9223-47CE-8F9C-136B46866708}"/>
    <cellStyle name="40% - Accent5 6 2 7" xfId="4482" xr:uid="{C52B85AD-B72A-4F10-89EF-97E888BD153C}"/>
    <cellStyle name="40% - Accent5 6 2 8" xfId="8658" xr:uid="{A89B8011-F323-428A-9E03-84AAACCB0CB3}"/>
    <cellStyle name="40% - Accent5 6 3" xfId="559" xr:uid="{00000000-0005-0000-0000-0000AC020000}"/>
    <cellStyle name="40% - Accent5 6 3 2" xfId="1385" xr:uid="{683BB3F6-82A2-4475-8616-5508E7719716}"/>
    <cellStyle name="40% - Accent5 6 3 2 2" xfId="5517" xr:uid="{763EB25E-6423-4FAE-A066-4DB0D2398134}"/>
    <cellStyle name="40% - Accent5 6 3 3" xfId="2213" xr:uid="{ACC5F0E4-0FD1-4F57-83CD-DA9C80D1B476}"/>
    <cellStyle name="40% - Accent5 6 3 3 2" xfId="6344" xr:uid="{766428B3-E1C3-4FCB-ABDC-F4B89F45EB47}"/>
    <cellStyle name="40% - Accent5 6 3 4" xfId="3037" xr:uid="{DE302A62-85F2-452E-B5CF-98ACE864821E}"/>
    <cellStyle name="40% - Accent5 6 3 4 2" xfId="7168" xr:uid="{44AA03C8-E8ED-44BE-AE9D-FC656B4D47F2}"/>
    <cellStyle name="40% - Accent5 6 3 5" xfId="3861" xr:uid="{E41A5FA6-3130-4B65-94C0-140D21D0FF40}"/>
    <cellStyle name="40% - Accent5 6 3 5 2" xfId="8020" xr:uid="{648D9A67-E6C5-47E4-8866-26F6C73D5463}"/>
    <cellStyle name="40% - Accent5 6 3 6" xfId="4691" xr:uid="{C4FFC1F6-B21D-4BD0-9DE8-0D4DF53EEE2D}"/>
    <cellStyle name="40% - Accent5 6 3 7" xfId="8867" xr:uid="{C0C0B982-538A-4061-B70D-A3C8B97E4519}"/>
    <cellStyle name="40% - Accent5 6 4" xfId="966" xr:uid="{CFE6C40C-3A89-49EE-B408-BCBC9B515E61}"/>
    <cellStyle name="40% - Accent5 6 4 2" xfId="5098" xr:uid="{CBEA7E9C-CA0D-461B-B631-E43683B01FDF}"/>
    <cellStyle name="40% - Accent5 6 5" xfId="1794" xr:uid="{78E1CBB3-5738-4A63-8C5D-27752D523DB2}"/>
    <cellStyle name="40% - Accent5 6 5 2" xfId="5925" xr:uid="{E359B3B5-C1EE-4BB3-BDB8-6FD3701A3761}"/>
    <cellStyle name="40% - Accent5 6 6" xfId="2618" xr:uid="{B7FAAD3B-B3C1-4CAA-9ADF-8E079F5DAEBB}"/>
    <cellStyle name="40% - Accent5 6 6 2" xfId="6749" xr:uid="{03CF2298-0111-4ECE-9CE9-8D327C5288EF}"/>
    <cellStyle name="40% - Accent5 6 7" xfId="3442" xr:uid="{B2F0DA57-09D8-4B7D-A227-5C9252AA0F89}"/>
    <cellStyle name="40% - Accent5 6 7 2" xfId="7601" xr:uid="{5A444C7D-E07F-464D-93A1-42278DDAF6E2}"/>
    <cellStyle name="40% - Accent5 6 8" xfId="4272" xr:uid="{BB35DE4D-4238-41FC-854D-D758DC65CAAE}"/>
    <cellStyle name="40% - Accent5 6 9" xfId="8448" xr:uid="{F338A57D-C0CB-40A4-B22D-528D98BF2A3C}"/>
    <cellStyle name="40% - Accent5 7" xfId="153" xr:uid="{00000000-0005-0000-0000-0000AD020000}"/>
    <cellStyle name="40% - Accent5 7 2" xfId="362" xr:uid="{00000000-0005-0000-0000-0000AE020000}"/>
    <cellStyle name="40% - Accent5 7 2 2" xfId="779" xr:uid="{00000000-0005-0000-0000-0000AF020000}"/>
    <cellStyle name="40% - Accent5 7 2 2 2" xfId="1605" xr:uid="{A4C359B5-C977-4A56-9192-0D5B239A088D}"/>
    <cellStyle name="40% - Accent5 7 2 2 2 2" xfId="5737" xr:uid="{AD098DE3-3D68-4661-BF50-C19E3825EBD3}"/>
    <cellStyle name="40% - Accent5 7 2 2 3" xfId="2433" xr:uid="{6E602EE3-8248-4BA2-9440-E13668403839}"/>
    <cellStyle name="40% - Accent5 7 2 2 3 2" xfId="6564" xr:uid="{57125A47-CBD0-48D5-84EE-729B1413DA22}"/>
    <cellStyle name="40% - Accent5 7 2 2 4" xfId="3257" xr:uid="{506BAD83-A909-42F1-8999-6DB4A2CEDB64}"/>
    <cellStyle name="40% - Accent5 7 2 2 4 2" xfId="7388" xr:uid="{145C5F91-E27A-4706-A702-23A76715F8DC}"/>
    <cellStyle name="40% - Accent5 7 2 2 5" xfId="4081" xr:uid="{556DA68B-0701-4D1F-8BBD-85DCCA1D94A2}"/>
    <cellStyle name="40% - Accent5 7 2 2 5 2" xfId="8240" xr:uid="{1B56CE7D-27FA-4829-921F-42DE89241887}"/>
    <cellStyle name="40% - Accent5 7 2 2 6" xfId="4911" xr:uid="{FBA54CCF-3D56-4A5A-B239-BBB309CB7C76}"/>
    <cellStyle name="40% - Accent5 7 2 2 7" xfId="9087" xr:uid="{CB17D015-9C2C-485E-999A-02C19E7964E0}"/>
    <cellStyle name="40% - Accent5 7 2 3" xfId="1188" xr:uid="{9D7E1F5A-2030-4FF6-9AA9-A09B43C4F8C8}"/>
    <cellStyle name="40% - Accent5 7 2 3 2" xfId="5320" xr:uid="{9BFFA9A6-AA79-4C29-8852-394AE3BE0018}"/>
    <cellStyle name="40% - Accent5 7 2 4" xfId="2016" xr:uid="{6C6976E2-5358-4D11-BD66-A922DAB1C597}"/>
    <cellStyle name="40% - Accent5 7 2 4 2" xfId="6147" xr:uid="{A6986FB0-648A-4FE6-A47A-073D4945B57E}"/>
    <cellStyle name="40% - Accent5 7 2 5" xfId="2840" xr:uid="{C9622619-BCC7-442D-BC5E-AC284F73B97B}"/>
    <cellStyle name="40% - Accent5 7 2 5 2" xfId="6971" xr:uid="{D6536BE4-D3DF-48DF-B5EE-F20A68904A6C}"/>
    <cellStyle name="40% - Accent5 7 2 6" xfId="3664" xr:uid="{02046646-3160-4CD0-A6D2-6ADDC8985385}"/>
    <cellStyle name="40% - Accent5 7 2 6 2" xfId="7823" xr:uid="{E56015AC-0927-4784-84E4-CBB0A8ADB6D6}"/>
    <cellStyle name="40% - Accent5 7 2 7" xfId="4494" xr:uid="{4CEBE4DE-445C-4ED9-B754-D927CB082781}"/>
    <cellStyle name="40% - Accent5 7 2 8" xfId="8670" xr:uid="{123BE39A-3F8B-4650-96EE-66307A7E2F75}"/>
    <cellStyle name="40% - Accent5 7 3" xfId="571" xr:uid="{00000000-0005-0000-0000-0000B0020000}"/>
    <cellStyle name="40% - Accent5 7 3 2" xfId="1397" xr:uid="{DE745ADA-EF9B-452D-8CDC-6B230B175BDD}"/>
    <cellStyle name="40% - Accent5 7 3 2 2" xfId="5529" xr:uid="{E3D98C01-D309-4BDE-8A8E-37FFAAB62C5E}"/>
    <cellStyle name="40% - Accent5 7 3 3" xfId="2225" xr:uid="{BA415FEB-00A5-43BB-9638-8AD9D24EC05C}"/>
    <cellStyle name="40% - Accent5 7 3 3 2" xfId="6356" xr:uid="{0E171C73-96AC-4D0B-8379-5A83AC91CD15}"/>
    <cellStyle name="40% - Accent5 7 3 4" xfId="3049" xr:uid="{5B38A87A-2C89-44CD-8804-FAF24379FB8F}"/>
    <cellStyle name="40% - Accent5 7 3 4 2" xfId="7180" xr:uid="{A210DDBC-47DC-4277-918F-69D736DC1375}"/>
    <cellStyle name="40% - Accent5 7 3 5" xfId="3873" xr:uid="{618916CA-7B32-4617-8FA4-F446AD4436D2}"/>
    <cellStyle name="40% - Accent5 7 3 5 2" xfId="8032" xr:uid="{BAD92BCC-4622-4459-855C-7E3772BD65BF}"/>
    <cellStyle name="40% - Accent5 7 3 6" xfId="4703" xr:uid="{32C9B5C3-0A67-4F14-9CFB-80B44F6A7D91}"/>
    <cellStyle name="40% - Accent5 7 3 7" xfId="8879" xr:uid="{2F18E89A-88FF-47F7-928E-6FB8A1A90918}"/>
    <cellStyle name="40% - Accent5 7 4" xfId="979" xr:uid="{DB84B2A1-3A8E-4DB9-87C9-AA3B61F0F036}"/>
    <cellStyle name="40% - Accent5 7 4 2" xfId="5111" xr:uid="{09CC7942-E9B5-47E7-8001-1F660AC958EB}"/>
    <cellStyle name="40% - Accent5 7 5" xfId="1807" xr:uid="{3FA9E8FA-A19B-4455-B1EF-E2CCB09914B8}"/>
    <cellStyle name="40% - Accent5 7 5 2" xfId="5938" xr:uid="{893213F4-1371-4C73-AA35-DF231D4E93DF}"/>
    <cellStyle name="40% - Accent5 7 6" xfId="2631" xr:uid="{4E200A00-02BB-4C8C-BE69-0F576D5A0760}"/>
    <cellStyle name="40% - Accent5 7 6 2" xfId="6762" xr:uid="{94E63346-91C7-4EFE-A3EB-C7618D3A8248}"/>
    <cellStyle name="40% - Accent5 7 7" xfId="3455" xr:uid="{EC046BEA-3A41-4707-83F4-95A0E8259D23}"/>
    <cellStyle name="40% - Accent5 7 7 2" xfId="7614" xr:uid="{592FCDF9-A496-450B-987B-B1B52046E23C}"/>
    <cellStyle name="40% - Accent5 7 8" xfId="4285" xr:uid="{F20279FB-C2AB-4215-93FF-AEBCCA3EA1E0}"/>
    <cellStyle name="40% - Accent5 7 9" xfId="8461" xr:uid="{D53084FC-7CD8-413B-B558-1683EE08BD16}"/>
    <cellStyle name="40% - Accent5 8" xfId="245" xr:uid="{00000000-0005-0000-0000-0000B1020000}"/>
    <cellStyle name="40% - Accent5 8 2" xfId="663" xr:uid="{00000000-0005-0000-0000-0000B2020000}"/>
    <cellStyle name="40% - Accent5 8 2 2" xfId="1489" xr:uid="{D605CC34-1CBD-4A39-A2E7-39615EC94DC8}"/>
    <cellStyle name="40% - Accent5 8 2 2 2" xfId="5621" xr:uid="{0F4B2930-01D4-412E-B59A-10B56207759F}"/>
    <cellStyle name="40% - Accent5 8 2 3" xfId="2317" xr:uid="{4BE88E44-7C63-4F13-BE74-B2F81E0F7582}"/>
    <cellStyle name="40% - Accent5 8 2 3 2" xfId="6448" xr:uid="{D075A4FF-2FA2-4101-917D-5AC590BBFA69}"/>
    <cellStyle name="40% - Accent5 8 2 4" xfId="3141" xr:uid="{51BC00AB-0FC2-4ABA-AC58-B7919E86800A}"/>
    <cellStyle name="40% - Accent5 8 2 4 2" xfId="7272" xr:uid="{BDF2FA3C-291B-487A-8F6F-3B2B6F2ADC92}"/>
    <cellStyle name="40% - Accent5 8 2 5" xfId="3965" xr:uid="{208E2C37-D2D6-4212-AEB6-9EF76EEEE9C2}"/>
    <cellStyle name="40% - Accent5 8 2 5 2" xfId="8124" xr:uid="{340BECAA-1CB1-4BB1-921C-3587F7197EC7}"/>
    <cellStyle name="40% - Accent5 8 2 6" xfId="4795" xr:uid="{D996A211-DCDD-43A2-97B7-4A73F03FDAA3}"/>
    <cellStyle name="40% - Accent5 8 2 7" xfId="8971" xr:uid="{DB22F7B2-EB1E-45B9-9E03-76FA8098A64D}"/>
    <cellStyle name="40% - Accent5 8 3" xfId="1071" xr:uid="{5911DBBB-8874-4B45-A2F6-1D3570E3A149}"/>
    <cellStyle name="40% - Accent5 8 3 2" xfId="5203" xr:uid="{7F2B5215-25D9-4A6B-9A9A-4D885C7DFEBF}"/>
    <cellStyle name="40% - Accent5 8 4" xfId="1899" xr:uid="{FA08F65C-EB9B-491E-85BC-A4E7405DC823}"/>
    <cellStyle name="40% - Accent5 8 4 2" xfId="6030" xr:uid="{2F2D61AB-6481-40FB-8F97-3C851B0AB3B6}"/>
    <cellStyle name="40% - Accent5 8 5" xfId="2723" xr:uid="{9467CA71-600A-4B72-9AE0-5CB9423DA1E1}"/>
    <cellStyle name="40% - Accent5 8 5 2" xfId="6854" xr:uid="{6D5A6AFB-1D80-4B35-8768-C52B5EFBEEB0}"/>
    <cellStyle name="40% - Accent5 8 6" xfId="3547" xr:uid="{4B7C8B75-3D2A-4C3F-BBDD-12CA7EEF2CD9}"/>
    <cellStyle name="40% - Accent5 8 6 2" xfId="7706" xr:uid="{522A5263-A946-46DA-BF3A-70A69FB77854}"/>
    <cellStyle name="40% - Accent5 8 7" xfId="4377" xr:uid="{357A04B0-74D4-4EC1-991E-EFF3C2F68C8E}"/>
    <cellStyle name="40% - Accent5 8 8" xfId="8553" xr:uid="{435DAD38-48A9-45D3-952D-612050CE8E6C}"/>
    <cellStyle name="40% - Accent5 9" xfId="258" xr:uid="{00000000-0005-0000-0000-0000B3020000}"/>
    <cellStyle name="40% - Accent5 9 2" xfId="675" xr:uid="{00000000-0005-0000-0000-0000B4020000}"/>
    <cellStyle name="40% - Accent5 9 2 2" xfId="1501" xr:uid="{78403F85-00D1-4C5C-BF44-5CEE8BDD6CEE}"/>
    <cellStyle name="40% - Accent5 9 2 2 2" xfId="5633" xr:uid="{B26987FD-1240-4A62-820D-D69ADB28FE22}"/>
    <cellStyle name="40% - Accent5 9 2 3" xfId="2329" xr:uid="{5FA2C2E0-A2BC-4F98-9C2A-8E50F2B9F63F}"/>
    <cellStyle name="40% - Accent5 9 2 3 2" xfId="6460" xr:uid="{086C5BE2-8980-4D63-AB67-825CA26DFCD7}"/>
    <cellStyle name="40% - Accent5 9 2 4" xfId="3153" xr:uid="{92CBA30A-EC77-4F52-AF4C-8E3399C046BB}"/>
    <cellStyle name="40% - Accent5 9 2 4 2" xfId="7284" xr:uid="{3DFB29B8-380D-42DA-8279-08CF0FE91B88}"/>
    <cellStyle name="40% - Accent5 9 2 5" xfId="3977" xr:uid="{FE6B3AAC-2B35-4205-A61A-8C41E533A118}"/>
    <cellStyle name="40% - Accent5 9 2 5 2" xfId="8136" xr:uid="{FD96D5FE-2EEC-44CE-B626-DF10F4F1BC08}"/>
    <cellStyle name="40% - Accent5 9 2 6" xfId="4807" xr:uid="{075939F6-8EDC-4FD2-8E67-F27AFC2B9BCB}"/>
    <cellStyle name="40% - Accent5 9 2 7" xfId="8983" xr:uid="{6AE28175-A353-4C9A-8A5B-90F5DA57AE64}"/>
    <cellStyle name="40% - Accent5 9 3" xfId="1084" xr:uid="{ADEB2555-6B23-41DF-8F85-5B5934A6D47E}"/>
    <cellStyle name="40% - Accent5 9 3 2" xfId="5216" xr:uid="{839AE3BB-6952-4531-9BC3-5ECD01BF7EAB}"/>
    <cellStyle name="40% - Accent5 9 4" xfId="1912" xr:uid="{87EBD9DF-7455-462C-B90A-9F7DB81CAC55}"/>
    <cellStyle name="40% - Accent5 9 4 2" xfId="6043" xr:uid="{7C77B4A1-4214-4AAA-A9A4-28AD097C4373}"/>
    <cellStyle name="40% - Accent5 9 5" xfId="2736" xr:uid="{AE60BECC-B3D9-481B-8184-A52828D0DD37}"/>
    <cellStyle name="40% - Accent5 9 5 2" xfId="6867" xr:uid="{11DE1600-8B4F-47CB-B4FF-01ED7C77698F}"/>
    <cellStyle name="40% - Accent5 9 6" xfId="3560" xr:uid="{945901EA-BB3D-47C7-8604-B8523AB6DE01}"/>
    <cellStyle name="40% - Accent5 9 6 2" xfId="7719" xr:uid="{CEE299F1-8857-408A-A122-31ED364D876F}"/>
    <cellStyle name="40% - Accent5 9 7" xfId="4390" xr:uid="{B83456E7-C41F-4B26-9488-7C76799E5001}"/>
    <cellStyle name="40% - Accent5 9 8" xfId="8566" xr:uid="{D719524A-0155-4254-A279-1E601B8EE804}"/>
    <cellStyle name="40% - Accent6" xfId="39" builtinId="51" customBuiltin="1"/>
    <cellStyle name="40% - Accent6 10" xfId="456" xr:uid="{00000000-0005-0000-0000-0000B6020000}"/>
    <cellStyle name="40% - Accent6 10 2" xfId="1282" xr:uid="{AF3BEE06-DEC9-40CD-8CFF-73F1E1751861}"/>
    <cellStyle name="40% - Accent6 10 2 2" xfId="5414" xr:uid="{1EDF77D7-9DE2-4916-9FB6-FB113BE5ECD6}"/>
    <cellStyle name="40% - Accent6 10 3" xfId="2110" xr:uid="{63848DC3-C6C9-4709-A5AD-DF260E6CC9E6}"/>
    <cellStyle name="40% - Accent6 10 3 2" xfId="6241" xr:uid="{730354F5-A766-4712-8253-E32DF85F8C24}"/>
    <cellStyle name="40% - Accent6 10 4" xfId="2934" xr:uid="{92526CC7-2430-4B17-81A6-DE0025FC4C52}"/>
    <cellStyle name="40% - Accent6 10 4 2" xfId="7065" xr:uid="{6F8E7C56-5FAD-4F99-A101-749CDCEEAD63}"/>
    <cellStyle name="40% - Accent6 10 5" xfId="3758" xr:uid="{E770A838-6E6E-4C05-BC43-582339E4FA6D}"/>
    <cellStyle name="40% - Accent6 10 5 2" xfId="7917" xr:uid="{4446169E-0EE8-4598-9B5D-D960A5F7C625}"/>
    <cellStyle name="40% - Accent6 10 6" xfId="4588" xr:uid="{0B0F69AB-CBD4-4A03-9F9F-6D566A2E85BF}"/>
    <cellStyle name="40% - Accent6 10 7" xfId="8764" xr:uid="{78B9C9D9-BBD4-4119-B32B-2DD174CAAD7E}"/>
    <cellStyle name="40% - Accent6 11" xfId="469" xr:uid="{00000000-0005-0000-0000-0000B7020000}"/>
    <cellStyle name="40% - Accent6 11 2" xfId="1295" xr:uid="{2E58FD17-3EB6-4C7A-83CF-A19B4C1E8654}"/>
    <cellStyle name="40% - Accent6 11 2 2" xfId="5427" xr:uid="{8A79BE18-4918-4734-B24C-2FD03550BF02}"/>
    <cellStyle name="40% - Accent6 11 3" xfId="2123" xr:uid="{979619C0-3FEA-4F59-BC46-5622BB92175A}"/>
    <cellStyle name="40% - Accent6 11 3 2" xfId="6254" xr:uid="{9728B190-3B48-462D-A841-B60A16167513}"/>
    <cellStyle name="40% - Accent6 11 4" xfId="2947" xr:uid="{FF3DD330-FC94-4420-A7AC-D243D36A2D27}"/>
    <cellStyle name="40% - Accent6 11 4 2" xfId="7078" xr:uid="{A242B797-0489-4BC8-B6C1-3BA0EC28BA71}"/>
    <cellStyle name="40% - Accent6 11 5" xfId="3771" xr:uid="{DEAC0202-521D-4FA8-866F-88BE3F972214}"/>
    <cellStyle name="40% - Accent6 11 5 2" xfId="7930" xr:uid="{C216EE2F-0AA3-4019-8E06-16FD46CFA7C8}"/>
    <cellStyle name="40% - Accent6 11 6" xfId="4601" xr:uid="{8CA23EF5-F47C-479B-9763-409A56A34AA4}"/>
    <cellStyle name="40% - Accent6 11 7" xfId="8777" xr:uid="{1197D928-FC71-41D2-B04B-E43D1C4C15CB}"/>
    <cellStyle name="40% - Accent6 12" xfId="874" xr:uid="{84FE2086-9A58-400F-83AD-60DD0513BB4F}"/>
    <cellStyle name="40% - Accent6 12 2" xfId="5006" xr:uid="{CF08CE57-EF02-4DFD-B5F4-A68C868958D0}"/>
    <cellStyle name="40% - Accent6 13" xfId="1703" xr:uid="{C87CBBF1-653F-4F29-9146-99274A614BCF}"/>
    <cellStyle name="40% - Accent6 13 2" xfId="5834" xr:uid="{22FB00A3-32F8-493B-96FB-5A9506C63C1E}"/>
    <cellStyle name="40% - Accent6 14" xfId="2527" xr:uid="{7970B7CE-20CB-4FC0-94D7-DDDA29149DC4}"/>
    <cellStyle name="40% - Accent6 14 2" xfId="6658" xr:uid="{364A1F5A-B5BE-4EA6-9C78-BCFB0568DCCB}"/>
    <cellStyle name="40% - Accent6 15" xfId="3351" xr:uid="{250009FB-9276-4B46-8534-124FB4838CBB}"/>
    <cellStyle name="40% - Accent6 15 2" xfId="7510" xr:uid="{B19D0B76-3D65-4499-87F5-5D65404821F3}"/>
    <cellStyle name="40% - Accent6 16" xfId="4180" xr:uid="{B24EB9AA-1BF2-4A14-9448-312127BAA65C}"/>
    <cellStyle name="40% - Accent6 17" xfId="8357" xr:uid="{49DA99F4-5695-4DA6-A8AB-04D854CE632B}"/>
    <cellStyle name="40% - Accent6 2" xfId="63" xr:uid="{00000000-0005-0000-0000-0000B8020000}"/>
    <cellStyle name="40% - Accent6 2 10" xfId="4195" xr:uid="{87FA6745-FB46-41EA-B10E-2CE610ABC55B}"/>
    <cellStyle name="40% - Accent6 2 11" xfId="8371" xr:uid="{1E96EBAF-4694-430B-94A5-3638C25A64BD}"/>
    <cellStyle name="40% - Accent6 2 2" xfId="116" xr:uid="{00000000-0005-0000-0000-0000B9020000}"/>
    <cellStyle name="40% - Accent6 2 2 10" xfId="8424" xr:uid="{803B022B-4C9A-44C5-A5AC-742334479A77}"/>
    <cellStyle name="40% - Accent6 2 2 2" xfId="221" xr:uid="{00000000-0005-0000-0000-0000BA020000}"/>
    <cellStyle name="40% - Accent6 2 2 2 2" xfId="430" xr:uid="{00000000-0005-0000-0000-0000BB020000}"/>
    <cellStyle name="40% - Accent6 2 2 2 2 2" xfId="847" xr:uid="{00000000-0005-0000-0000-0000BC020000}"/>
    <cellStyle name="40% - Accent6 2 2 2 2 2 2" xfId="1673" xr:uid="{15C3E7CB-717A-4724-BE9D-14429EEBCFC0}"/>
    <cellStyle name="40% - Accent6 2 2 2 2 2 2 2" xfId="5805" xr:uid="{524DB540-3017-4043-BB51-09CD0CD43DF5}"/>
    <cellStyle name="40% - Accent6 2 2 2 2 2 3" xfId="2501" xr:uid="{59700259-F36D-4F7A-AEE0-B75A09A5CFA8}"/>
    <cellStyle name="40% - Accent6 2 2 2 2 2 3 2" xfId="6632" xr:uid="{551C5FBD-1BE6-48F2-84A9-59EB133E267B}"/>
    <cellStyle name="40% - Accent6 2 2 2 2 2 4" xfId="3325" xr:uid="{EEF203A7-9B70-4C2C-96A9-730FACAF865C}"/>
    <cellStyle name="40% - Accent6 2 2 2 2 2 4 2" xfId="7456" xr:uid="{A31FD9CC-6B15-45E1-AB03-33D1393D7C09}"/>
    <cellStyle name="40% - Accent6 2 2 2 2 2 5" xfId="4149" xr:uid="{C7BA3507-FC20-483E-BD4E-165CA30933D3}"/>
    <cellStyle name="40% - Accent6 2 2 2 2 2 5 2" xfId="8308" xr:uid="{3B704A3D-B1F4-4D79-A9BE-505BA18AF707}"/>
    <cellStyle name="40% - Accent6 2 2 2 2 2 6" xfId="4979" xr:uid="{F19A861A-EF99-41E8-8BBA-0BA06E3BA9C1}"/>
    <cellStyle name="40% - Accent6 2 2 2 2 2 7" xfId="9155" xr:uid="{D8D66D95-AD9E-4BE6-957B-2E0150AAF850}"/>
    <cellStyle name="40% - Accent6 2 2 2 2 3" xfId="1256" xr:uid="{D8F44E0A-4645-465A-BFD9-CF5E677A4169}"/>
    <cellStyle name="40% - Accent6 2 2 2 2 3 2" xfId="5388" xr:uid="{CF858F2B-4832-4ED4-B78E-7BFBD8F720BD}"/>
    <cellStyle name="40% - Accent6 2 2 2 2 4" xfId="2084" xr:uid="{92B30F0F-BD9E-4FF5-A8DF-3E4CF5FE854B}"/>
    <cellStyle name="40% - Accent6 2 2 2 2 4 2" xfId="6215" xr:uid="{E4DA1765-A484-4E94-8EAF-B3E42C7A22F7}"/>
    <cellStyle name="40% - Accent6 2 2 2 2 5" xfId="2908" xr:uid="{740EE043-13D9-47B3-93A6-ED3D8EEF436F}"/>
    <cellStyle name="40% - Accent6 2 2 2 2 5 2" xfId="7039" xr:uid="{AD365C1B-C32C-4986-81E6-93FB7FF2A9AF}"/>
    <cellStyle name="40% - Accent6 2 2 2 2 6" xfId="3732" xr:uid="{749A2A32-52FE-49EA-86B5-D374C240B629}"/>
    <cellStyle name="40% - Accent6 2 2 2 2 6 2" xfId="7891" xr:uid="{1F6DF1BA-B96B-417B-B114-0F51088E6094}"/>
    <cellStyle name="40% - Accent6 2 2 2 2 7" xfId="4562" xr:uid="{C7C95977-051F-4557-BEEF-F4C724DD504C}"/>
    <cellStyle name="40% - Accent6 2 2 2 2 8" xfId="8738" xr:uid="{C6D85D1D-0970-4FBD-A278-DB664DE6FEAB}"/>
    <cellStyle name="40% - Accent6 2 2 2 3" xfId="639" xr:uid="{00000000-0005-0000-0000-0000BD020000}"/>
    <cellStyle name="40% - Accent6 2 2 2 3 2" xfId="1465" xr:uid="{56828A63-505C-4E02-8B93-A59284944F8C}"/>
    <cellStyle name="40% - Accent6 2 2 2 3 2 2" xfId="5597" xr:uid="{EA9E1D01-B9DE-40E0-AE33-2834A8E8823E}"/>
    <cellStyle name="40% - Accent6 2 2 2 3 3" xfId="2293" xr:uid="{854420C4-6C80-4CA5-B7E4-9A76DB4E3020}"/>
    <cellStyle name="40% - Accent6 2 2 2 3 3 2" xfId="6424" xr:uid="{53DDAB9C-55FB-400D-8F1F-B556F0937D9E}"/>
    <cellStyle name="40% - Accent6 2 2 2 3 4" xfId="3117" xr:uid="{23ED6B64-D128-4022-9420-B0E957F660C5}"/>
    <cellStyle name="40% - Accent6 2 2 2 3 4 2" xfId="7248" xr:uid="{1DBFF237-9564-45E1-8208-7010C7FE09C4}"/>
    <cellStyle name="40% - Accent6 2 2 2 3 5" xfId="3941" xr:uid="{D81334F1-3B70-49DB-B280-BAA6344BD0D4}"/>
    <cellStyle name="40% - Accent6 2 2 2 3 5 2" xfId="8100" xr:uid="{D9E41DB5-EB2C-4845-A964-76836B5578BA}"/>
    <cellStyle name="40% - Accent6 2 2 2 3 6" xfId="4771" xr:uid="{4E08AD82-E019-46D7-A60E-61C7A415BE85}"/>
    <cellStyle name="40% - Accent6 2 2 2 3 7" xfId="8947" xr:uid="{58CAD9AA-16AA-4607-A3A5-5832D10B867A}"/>
    <cellStyle name="40% - Accent6 2 2 2 4" xfId="1047" xr:uid="{FB01B390-0D5B-4B05-BC98-2D90A79A15E1}"/>
    <cellStyle name="40% - Accent6 2 2 2 4 2" xfId="5179" xr:uid="{E1C06B48-AE53-4475-83E4-8F24A5455D25}"/>
    <cellStyle name="40% - Accent6 2 2 2 5" xfId="1875" xr:uid="{FCAC20BA-3EEB-45A1-80F6-6A4E148D9DB7}"/>
    <cellStyle name="40% - Accent6 2 2 2 5 2" xfId="6006" xr:uid="{74C10280-9681-457E-9C77-0EA0DF7D51AF}"/>
    <cellStyle name="40% - Accent6 2 2 2 6" xfId="2699" xr:uid="{FBBDA423-EBB5-4D4F-8C5E-FC02646A8281}"/>
    <cellStyle name="40% - Accent6 2 2 2 6 2" xfId="6830" xr:uid="{40D4CB52-297D-4258-8275-800A5E82A3EC}"/>
    <cellStyle name="40% - Accent6 2 2 2 7" xfId="3523" xr:uid="{9F6FD9F3-F780-419A-8A29-23F2CFEB5ECD}"/>
    <cellStyle name="40% - Accent6 2 2 2 7 2" xfId="7682" xr:uid="{D85C984F-D545-419A-800A-99F51524648D}"/>
    <cellStyle name="40% - Accent6 2 2 2 8" xfId="4353" xr:uid="{9BAD8CEF-512C-4165-8642-084F26CD5D3F}"/>
    <cellStyle name="40% - Accent6 2 2 2 9" xfId="8529" xr:uid="{52A9606F-C24D-466E-81AC-848ED2E663E7}"/>
    <cellStyle name="40% - Accent6 2 2 3" xfId="326" xr:uid="{00000000-0005-0000-0000-0000BE020000}"/>
    <cellStyle name="40% - Accent6 2 2 3 2" xfId="743" xr:uid="{00000000-0005-0000-0000-0000BF020000}"/>
    <cellStyle name="40% - Accent6 2 2 3 2 2" xfId="1569" xr:uid="{2AC38FEF-681E-435A-BB23-8D425E6BEC90}"/>
    <cellStyle name="40% - Accent6 2 2 3 2 2 2" xfId="5701" xr:uid="{D5C836A6-2857-45E9-BE95-F62E439A8A27}"/>
    <cellStyle name="40% - Accent6 2 2 3 2 3" xfId="2397" xr:uid="{05AD96B7-8C9E-48D3-B000-6BBD158E2D40}"/>
    <cellStyle name="40% - Accent6 2 2 3 2 3 2" xfId="6528" xr:uid="{BA47279D-9835-4D9E-AE82-21244F05133E}"/>
    <cellStyle name="40% - Accent6 2 2 3 2 4" xfId="3221" xr:uid="{87013AAB-52CA-4553-9E7F-FBA61BE46F7D}"/>
    <cellStyle name="40% - Accent6 2 2 3 2 4 2" xfId="7352" xr:uid="{DE37520F-E9C0-40BD-874B-B428E35332CA}"/>
    <cellStyle name="40% - Accent6 2 2 3 2 5" xfId="4045" xr:uid="{6F119938-2CCA-478F-A7A3-ECA242552921}"/>
    <cellStyle name="40% - Accent6 2 2 3 2 5 2" xfId="8204" xr:uid="{13D292E2-355B-4DFF-85D4-DF549E8B2639}"/>
    <cellStyle name="40% - Accent6 2 2 3 2 6" xfId="4875" xr:uid="{01FED35A-8D3B-4386-A927-6D0DE9CA9249}"/>
    <cellStyle name="40% - Accent6 2 2 3 2 7" xfId="9051" xr:uid="{796D24D9-7DC4-43A5-970F-6BB5D389DF9F}"/>
    <cellStyle name="40% - Accent6 2 2 3 3" xfId="1152" xr:uid="{3BD92E68-D1BF-4446-A5EC-CDFE9C6FB1BD}"/>
    <cellStyle name="40% - Accent6 2 2 3 3 2" xfId="5284" xr:uid="{F190D381-500B-42D1-930D-FA1516DCE025}"/>
    <cellStyle name="40% - Accent6 2 2 3 4" xfId="1980" xr:uid="{D0C731C7-F8AC-4D3F-A41A-409B2D0D7340}"/>
    <cellStyle name="40% - Accent6 2 2 3 4 2" xfId="6111" xr:uid="{F7B4E44C-2509-4773-8A18-FAF38D872DFF}"/>
    <cellStyle name="40% - Accent6 2 2 3 5" xfId="2804" xr:uid="{057AE042-6F4D-4779-82A9-6901C8A850DB}"/>
    <cellStyle name="40% - Accent6 2 2 3 5 2" xfId="6935" xr:uid="{FEE59B1A-130A-447F-9EAF-F769C4E9D75E}"/>
    <cellStyle name="40% - Accent6 2 2 3 6" xfId="3628" xr:uid="{84B6C67A-487D-4964-9D70-A3276D1C17B7}"/>
    <cellStyle name="40% - Accent6 2 2 3 6 2" xfId="7787" xr:uid="{5112162E-F907-48A6-9D8D-A5D14EFCF17C}"/>
    <cellStyle name="40% - Accent6 2 2 3 7" xfId="4458" xr:uid="{90A4CFD8-B924-46AC-943B-A9F20A00CF1A}"/>
    <cellStyle name="40% - Accent6 2 2 3 8" xfId="8634" xr:uid="{54B3DA6E-D8C2-4DA5-8114-A9E5F37E0FB1}"/>
    <cellStyle name="40% - Accent6 2 2 4" xfId="535" xr:uid="{00000000-0005-0000-0000-0000C0020000}"/>
    <cellStyle name="40% - Accent6 2 2 4 2" xfId="1361" xr:uid="{C1C93FE1-37FE-4601-9C57-87330DC10CA8}"/>
    <cellStyle name="40% - Accent6 2 2 4 2 2" xfId="5493" xr:uid="{2983EC74-03DF-4643-8061-BAC4C955D5AB}"/>
    <cellStyle name="40% - Accent6 2 2 4 3" xfId="2189" xr:uid="{42646D80-5CF6-4CB8-A208-EFD866289035}"/>
    <cellStyle name="40% - Accent6 2 2 4 3 2" xfId="6320" xr:uid="{317E94AB-6370-4E59-AE5D-952AC98F9E8D}"/>
    <cellStyle name="40% - Accent6 2 2 4 4" xfId="3013" xr:uid="{C7F9426E-FDD0-47F6-B00A-1FC927B47183}"/>
    <cellStyle name="40% - Accent6 2 2 4 4 2" xfId="7144" xr:uid="{1D915666-09D1-44A4-8C65-DE570D3DA40D}"/>
    <cellStyle name="40% - Accent6 2 2 4 5" xfId="3837" xr:uid="{AE3BAD97-EAC9-4B30-B3D9-0EE1018EEE60}"/>
    <cellStyle name="40% - Accent6 2 2 4 5 2" xfId="7996" xr:uid="{4355CB73-04CE-40F0-BDF2-8BB3A0E21672}"/>
    <cellStyle name="40% - Accent6 2 2 4 6" xfId="4667" xr:uid="{80FD95CC-4AAC-42F9-89E6-E67B8E752BA0}"/>
    <cellStyle name="40% - Accent6 2 2 4 7" xfId="8843" xr:uid="{877D22C5-5E1F-4ECF-85B1-4BCA0062DDFC}"/>
    <cellStyle name="40% - Accent6 2 2 5" xfId="942" xr:uid="{8E38FF9A-786C-4306-B27C-1CADE47B4928}"/>
    <cellStyle name="40% - Accent6 2 2 5 2" xfId="5074" xr:uid="{04E1E35B-3851-499C-A7D6-A34C8EF9BC5B}"/>
    <cellStyle name="40% - Accent6 2 2 6" xfId="1770" xr:uid="{755E1A78-2F03-4D8E-85CF-B98DC1EACE54}"/>
    <cellStyle name="40% - Accent6 2 2 6 2" xfId="5901" xr:uid="{906C54D8-32BC-4AD2-A63C-B8EA47FF65EF}"/>
    <cellStyle name="40% - Accent6 2 2 7" xfId="2594" xr:uid="{FAC850D0-5175-4C43-B3E5-1F63B4249D72}"/>
    <cellStyle name="40% - Accent6 2 2 7 2" xfId="6725" xr:uid="{5B8133B5-FC18-47DA-A775-EDCC5D4F996E}"/>
    <cellStyle name="40% - Accent6 2 2 8" xfId="3418" xr:uid="{7071B036-7E97-462B-A5DF-BA3F1387F7BE}"/>
    <cellStyle name="40% - Accent6 2 2 8 2" xfId="7577" xr:uid="{D8C802DC-5565-4364-82D8-57AEC00CE89D}"/>
    <cellStyle name="40% - Accent6 2 2 9" xfId="4248" xr:uid="{D9FAA83E-8FC6-46A4-A39D-542294639AB9}"/>
    <cellStyle name="40% - Accent6 2 3" xfId="169" xr:uid="{00000000-0005-0000-0000-0000C1020000}"/>
    <cellStyle name="40% - Accent6 2 3 2" xfId="378" xr:uid="{00000000-0005-0000-0000-0000C2020000}"/>
    <cellStyle name="40% - Accent6 2 3 2 2" xfId="795" xr:uid="{00000000-0005-0000-0000-0000C3020000}"/>
    <cellStyle name="40% - Accent6 2 3 2 2 2" xfId="1621" xr:uid="{CFBACFF4-D1BC-43E3-AA94-BDC68E1B7601}"/>
    <cellStyle name="40% - Accent6 2 3 2 2 2 2" xfId="5753" xr:uid="{3E5C0A82-4D95-4F74-9BE3-3038B2831F0C}"/>
    <cellStyle name="40% - Accent6 2 3 2 2 3" xfId="2449" xr:uid="{DC43E162-1403-4E64-B173-E3F1FAC5CA8C}"/>
    <cellStyle name="40% - Accent6 2 3 2 2 3 2" xfId="6580" xr:uid="{638C8789-01FF-47B7-BFCA-10E712279179}"/>
    <cellStyle name="40% - Accent6 2 3 2 2 4" xfId="3273" xr:uid="{BCD1AD01-B0F4-40E9-B5FB-87DE01B51E12}"/>
    <cellStyle name="40% - Accent6 2 3 2 2 4 2" xfId="7404" xr:uid="{F552FA2E-7243-4020-BD6B-F52A4C0E0EC7}"/>
    <cellStyle name="40% - Accent6 2 3 2 2 5" xfId="4097" xr:uid="{EEBADDE8-2F6A-4CB7-AC73-FE26735F7C4F}"/>
    <cellStyle name="40% - Accent6 2 3 2 2 5 2" xfId="8256" xr:uid="{5B775ED5-E03A-430A-AC06-69A167F2015D}"/>
    <cellStyle name="40% - Accent6 2 3 2 2 6" xfId="4927" xr:uid="{1C9CA5AC-3A23-4059-827E-A7EF2E463263}"/>
    <cellStyle name="40% - Accent6 2 3 2 2 7" xfId="9103" xr:uid="{93DAF810-6E63-43F0-833A-EB00630F7EB7}"/>
    <cellStyle name="40% - Accent6 2 3 2 3" xfId="1204" xr:uid="{F9BD11C3-1C5D-44CF-90A2-523D3E2A0767}"/>
    <cellStyle name="40% - Accent6 2 3 2 3 2" xfId="5336" xr:uid="{5B5A003E-A4C4-4CBF-855F-7AA48C187088}"/>
    <cellStyle name="40% - Accent6 2 3 2 4" xfId="2032" xr:uid="{46A51FEA-B956-4BC2-A1AA-B642024AC173}"/>
    <cellStyle name="40% - Accent6 2 3 2 4 2" xfId="6163" xr:uid="{2DF0E9B1-E6AB-4919-9E84-83AA4C77D9CA}"/>
    <cellStyle name="40% - Accent6 2 3 2 5" xfId="2856" xr:uid="{82B8C06B-014C-487E-B7FF-92E384DB7312}"/>
    <cellStyle name="40% - Accent6 2 3 2 5 2" xfId="6987" xr:uid="{90996844-3655-4B3D-B46B-E2E8339A3FEE}"/>
    <cellStyle name="40% - Accent6 2 3 2 6" xfId="3680" xr:uid="{4E4F3688-17D2-4340-B7F3-E9AE25623C46}"/>
    <cellStyle name="40% - Accent6 2 3 2 6 2" xfId="7839" xr:uid="{C75FE11A-04E9-41C9-BB78-AFD7C1D8E57C}"/>
    <cellStyle name="40% - Accent6 2 3 2 7" xfId="4510" xr:uid="{73AC782F-2737-4FBA-AE03-4FA1185B72FB}"/>
    <cellStyle name="40% - Accent6 2 3 2 8" xfId="8686" xr:uid="{F917460B-3637-448E-BB68-02FC2140A654}"/>
    <cellStyle name="40% - Accent6 2 3 3" xfId="587" xr:uid="{00000000-0005-0000-0000-0000C4020000}"/>
    <cellStyle name="40% - Accent6 2 3 3 2" xfId="1413" xr:uid="{5FAE06AE-97BA-4186-87E9-5F679F8A30BD}"/>
    <cellStyle name="40% - Accent6 2 3 3 2 2" xfId="5545" xr:uid="{3EADBAE6-867D-4645-9905-692E8F144953}"/>
    <cellStyle name="40% - Accent6 2 3 3 3" xfId="2241" xr:uid="{630BFE4C-4E44-48F4-BAB5-0B19FBE9AA94}"/>
    <cellStyle name="40% - Accent6 2 3 3 3 2" xfId="6372" xr:uid="{92374A67-7FBB-4D1D-BDD4-3611D02BD2C2}"/>
    <cellStyle name="40% - Accent6 2 3 3 4" xfId="3065" xr:uid="{2359D18E-59CB-4AEF-AAA2-EC8C43F4AA8F}"/>
    <cellStyle name="40% - Accent6 2 3 3 4 2" xfId="7196" xr:uid="{AAF1965E-9582-4AA0-9EA2-FD7F519E153C}"/>
    <cellStyle name="40% - Accent6 2 3 3 5" xfId="3889" xr:uid="{277E20D2-1D87-4F57-96D1-F6C1D8B658A0}"/>
    <cellStyle name="40% - Accent6 2 3 3 5 2" xfId="8048" xr:uid="{94762818-B21F-4740-8A10-FF502A60C379}"/>
    <cellStyle name="40% - Accent6 2 3 3 6" xfId="4719" xr:uid="{040E8597-E680-4BF9-A85D-281FDC7C4228}"/>
    <cellStyle name="40% - Accent6 2 3 3 7" xfId="8895" xr:uid="{C64261A1-A3A7-4428-906A-F865BEDBA261}"/>
    <cellStyle name="40% - Accent6 2 3 4" xfId="995" xr:uid="{10C07CE4-DC59-49C2-BA8D-D1EA2E1E16E3}"/>
    <cellStyle name="40% - Accent6 2 3 4 2" xfId="5127" xr:uid="{7B0A65A5-CE8F-4835-833E-D8E5F3C7F7A4}"/>
    <cellStyle name="40% - Accent6 2 3 5" xfId="1823" xr:uid="{98964C2F-B9AA-4D9C-B781-AF0CFFD40295}"/>
    <cellStyle name="40% - Accent6 2 3 5 2" xfId="5954" xr:uid="{017724C9-F219-4C9A-8CF5-A282722308BB}"/>
    <cellStyle name="40% - Accent6 2 3 6" xfId="2647" xr:uid="{D3BBB985-DBD9-45ED-A82A-EEAF064B9846}"/>
    <cellStyle name="40% - Accent6 2 3 6 2" xfId="6778" xr:uid="{AD47B721-A0A8-46EE-842C-E5D9A2619B64}"/>
    <cellStyle name="40% - Accent6 2 3 7" xfId="3471" xr:uid="{3FCD3073-53CB-4C41-9C0A-556535CA55C5}"/>
    <cellStyle name="40% - Accent6 2 3 7 2" xfId="7630" xr:uid="{1CCC8CC0-C5FE-416F-AAD3-8FE727D9FB5B}"/>
    <cellStyle name="40% - Accent6 2 3 8" xfId="4301" xr:uid="{DCED6E42-69DB-4E09-B9D1-25CD9E1EA9F3}"/>
    <cellStyle name="40% - Accent6 2 3 9" xfId="8477" xr:uid="{E4757D63-AC8A-4C5A-8E7D-B006120FB418}"/>
    <cellStyle name="40% - Accent6 2 4" xfId="274" xr:uid="{00000000-0005-0000-0000-0000C5020000}"/>
    <cellStyle name="40% - Accent6 2 4 2" xfId="691" xr:uid="{00000000-0005-0000-0000-0000C6020000}"/>
    <cellStyle name="40% - Accent6 2 4 2 2" xfId="1517" xr:uid="{B32DC355-6ECF-4680-AD7E-C1E8F452F50D}"/>
    <cellStyle name="40% - Accent6 2 4 2 2 2" xfId="5649" xr:uid="{BDE4C049-F662-4E7E-844A-EE1CA688B575}"/>
    <cellStyle name="40% - Accent6 2 4 2 3" xfId="2345" xr:uid="{CB6C73CC-373C-4F66-BCF7-729F7424DC67}"/>
    <cellStyle name="40% - Accent6 2 4 2 3 2" xfId="6476" xr:uid="{728303B5-5316-471C-8B41-8A676395A9DA}"/>
    <cellStyle name="40% - Accent6 2 4 2 4" xfId="3169" xr:uid="{D2A858CE-556F-46CE-81EE-75D894A29E7D}"/>
    <cellStyle name="40% - Accent6 2 4 2 4 2" xfId="7300" xr:uid="{F55A7F75-16D2-4B4F-9A0C-236ACD250117}"/>
    <cellStyle name="40% - Accent6 2 4 2 5" xfId="3993" xr:uid="{82591081-6184-48A7-B138-72872DAEEAD3}"/>
    <cellStyle name="40% - Accent6 2 4 2 5 2" xfId="8152" xr:uid="{B9E9D6EE-78DA-4AF5-A51D-DBFE129043AA}"/>
    <cellStyle name="40% - Accent6 2 4 2 6" xfId="4823" xr:uid="{93017091-6050-4F53-946D-697703B3FB3C}"/>
    <cellStyle name="40% - Accent6 2 4 2 7" xfId="8999" xr:uid="{B47D9639-8B39-4533-91BA-A189CD905BCB}"/>
    <cellStyle name="40% - Accent6 2 4 3" xfId="1100" xr:uid="{21FFE15C-B5A8-4A0B-8E8B-58041E0482CC}"/>
    <cellStyle name="40% - Accent6 2 4 3 2" xfId="5232" xr:uid="{4F10751E-ADCB-4EB9-9C5C-A0422E7E42F0}"/>
    <cellStyle name="40% - Accent6 2 4 4" xfId="1928" xr:uid="{E85F7130-AE72-430B-9B89-9B25305383D5}"/>
    <cellStyle name="40% - Accent6 2 4 4 2" xfId="6059" xr:uid="{30C0798D-41FC-44FB-BC84-1E7E3F58EA4F}"/>
    <cellStyle name="40% - Accent6 2 4 5" xfId="2752" xr:uid="{45963FC7-0630-41F8-A524-81FF09D53177}"/>
    <cellStyle name="40% - Accent6 2 4 5 2" xfId="6883" xr:uid="{D039F7F0-D812-4CAA-9E6A-FA218126BCF1}"/>
    <cellStyle name="40% - Accent6 2 4 6" xfId="3576" xr:uid="{8BE09D12-D583-453F-83B3-775DD19D54B7}"/>
    <cellStyle name="40% - Accent6 2 4 6 2" xfId="7735" xr:uid="{81C6E3F0-AC7A-459E-AD96-A6DBE34FF027}"/>
    <cellStyle name="40% - Accent6 2 4 7" xfId="4406" xr:uid="{FD309E69-3011-4B7B-A442-874C41C10C2E}"/>
    <cellStyle name="40% - Accent6 2 4 8" xfId="8582" xr:uid="{18412104-4EDA-4D20-9614-725F94F590F0}"/>
    <cellStyle name="40% - Accent6 2 5" xfId="483" xr:uid="{00000000-0005-0000-0000-0000C7020000}"/>
    <cellStyle name="40% - Accent6 2 5 2" xfId="1309" xr:uid="{2099AA47-F079-4E40-AB19-7D41E3D60F42}"/>
    <cellStyle name="40% - Accent6 2 5 2 2" xfId="5441" xr:uid="{6BC4E8B1-7924-431B-93FF-88AF663BE4A0}"/>
    <cellStyle name="40% - Accent6 2 5 3" xfId="2137" xr:uid="{F6397AE2-0776-4812-A3AA-08D368E0AED8}"/>
    <cellStyle name="40% - Accent6 2 5 3 2" xfId="6268" xr:uid="{22B35747-661D-47AC-9E44-A9A0F51E3648}"/>
    <cellStyle name="40% - Accent6 2 5 4" xfId="2961" xr:uid="{A88DAAFB-3B59-48A9-B96F-1AFEF2A480FB}"/>
    <cellStyle name="40% - Accent6 2 5 4 2" xfId="7092" xr:uid="{92A63E75-3115-4D74-B558-B8EE72AA2D2B}"/>
    <cellStyle name="40% - Accent6 2 5 5" xfId="3785" xr:uid="{00029BAE-1A9A-48A6-A391-12D6F43931BE}"/>
    <cellStyle name="40% - Accent6 2 5 5 2" xfId="7944" xr:uid="{BFD338A3-586A-4475-848A-23387EA84577}"/>
    <cellStyle name="40% - Accent6 2 5 6" xfId="4615" xr:uid="{A0E2B93E-8FC2-4CBF-AC90-1996A6073794}"/>
    <cellStyle name="40% - Accent6 2 5 7" xfId="8791" xr:uid="{69055147-0811-433B-B88E-0FA1E48C6F85}"/>
    <cellStyle name="40% - Accent6 2 6" xfId="889" xr:uid="{49917513-8B92-4D48-B73F-8B17970DF74E}"/>
    <cellStyle name="40% - Accent6 2 6 2" xfId="5021" xr:uid="{940ADDC1-58CD-4165-94D4-4FF378F30DA6}"/>
    <cellStyle name="40% - Accent6 2 7" xfId="1717" xr:uid="{5D7FCE0B-CEC8-4A3C-8255-7DA2181D2182}"/>
    <cellStyle name="40% - Accent6 2 7 2" xfId="5848" xr:uid="{53A5EE3F-24A7-4F50-A9D2-3C0A0AC1CA8C}"/>
    <cellStyle name="40% - Accent6 2 8" xfId="2541" xr:uid="{2EAA456F-180C-4E53-9A21-68F6F2006CE9}"/>
    <cellStyle name="40% - Accent6 2 8 2" xfId="6672" xr:uid="{D23E6929-1234-41C1-8B2C-3D391EB25D05}"/>
    <cellStyle name="40% - Accent6 2 9" xfId="3365" xr:uid="{D977408E-D92E-42B4-A6F4-B4D46337770A}"/>
    <cellStyle name="40% - Accent6 2 9 2" xfId="7524" xr:uid="{3F0F7530-8137-4AA0-9311-D30F7FF6F4D8}"/>
    <cellStyle name="40% - Accent6 3" xfId="76" xr:uid="{00000000-0005-0000-0000-0000C8020000}"/>
    <cellStyle name="40% - Accent6 3 10" xfId="4208" xr:uid="{D8D9E511-92BC-4F02-8A47-603C2623B684}"/>
    <cellStyle name="40% - Accent6 3 11" xfId="8384" xr:uid="{2D20D7FD-ADDA-4D95-A08F-5A2EA1217312}"/>
    <cellStyle name="40% - Accent6 3 2" xfId="129" xr:uid="{00000000-0005-0000-0000-0000C9020000}"/>
    <cellStyle name="40% - Accent6 3 2 10" xfId="8437" xr:uid="{0CA83B20-081B-4590-9692-822FFDADCDBD}"/>
    <cellStyle name="40% - Accent6 3 2 2" xfId="234" xr:uid="{00000000-0005-0000-0000-0000CA020000}"/>
    <cellStyle name="40% - Accent6 3 2 2 2" xfId="443" xr:uid="{00000000-0005-0000-0000-0000CB020000}"/>
    <cellStyle name="40% - Accent6 3 2 2 2 2" xfId="860" xr:uid="{00000000-0005-0000-0000-0000CC020000}"/>
    <cellStyle name="40% - Accent6 3 2 2 2 2 2" xfId="1686" xr:uid="{8C55A2C1-F18A-4A92-BD6B-BD661BEB474F}"/>
    <cellStyle name="40% - Accent6 3 2 2 2 2 2 2" xfId="5818" xr:uid="{CD33C821-33F2-4AC8-A5E7-CD85E539902F}"/>
    <cellStyle name="40% - Accent6 3 2 2 2 2 3" xfId="2514" xr:uid="{53242BAB-3F11-4D9E-A01C-BB23D4F50C36}"/>
    <cellStyle name="40% - Accent6 3 2 2 2 2 3 2" xfId="6645" xr:uid="{9C6860F8-8F5C-4CF7-8A00-635C510B546D}"/>
    <cellStyle name="40% - Accent6 3 2 2 2 2 4" xfId="3338" xr:uid="{22F6B873-9D6B-4100-BF39-CAC8F54EE5A2}"/>
    <cellStyle name="40% - Accent6 3 2 2 2 2 4 2" xfId="7469" xr:uid="{1E5EF0D2-BD89-4936-B3D6-80EF19962374}"/>
    <cellStyle name="40% - Accent6 3 2 2 2 2 5" xfId="4162" xr:uid="{C58B008F-CD1A-41F8-B50B-9183268EC2EC}"/>
    <cellStyle name="40% - Accent6 3 2 2 2 2 5 2" xfId="8321" xr:uid="{699E8A64-0EBE-4E70-9EEB-017CEA5A078D}"/>
    <cellStyle name="40% - Accent6 3 2 2 2 2 6" xfId="4992" xr:uid="{F9D10003-D663-4A6D-939B-4660C8907109}"/>
    <cellStyle name="40% - Accent6 3 2 2 2 2 7" xfId="9168" xr:uid="{E3AEBCB3-BA9C-4097-8B25-16B8F2DF6019}"/>
    <cellStyle name="40% - Accent6 3 2 2 2 3" xfId="1269" xr:uid="{03B5FA8E-C9B8-4D34-903A-67BDA71988E2}"/>
    <cellStyle name="40% - Accent6 3 2 2 2 3 2" xfId="5401" xr:uid="{B76AD3FB-3CE8-4D1F-921D-7361B4561E12}"/>
    <cellStyle name="40% - Accent6 3 2 2 2 4" xfId="2097" xr:uid="{5168F84F-5180-429B-92E3-E27D9C79E0AD}"/>
    <cellStyle name="40% - Accent6 3 2 2 2 4 2" xfId="6228" xr:uid="{34313799-EC2D-404F-A37B-A62402B8A269}"/>
    <cellStyle name="40% - Accent6 3 2 2 2 5" xfId="2921" xr:uid="{10EF1134-9D79-4ECE-AC06-7A06F3A14B5D}"/>
    <cellStyle name="40% - Accent6 3 2 2 2 5 2" xfId="7052" xr:uid="{C7DF911D-2489-422B-AC81-7867CA95DDDA}"/>
    <cellStyle name="40% - Accent6 3 2 2 2 6" xfId="3745" xr:uid="{B36AAB13-D8EA-4FA1-8779-75F1192624A1}"/>
    <cellStyle name="40% - Accent6 3 2 2 2 6 2" xfId="7904" xr:uid="{334F142B-B105-4DDD-AD20-1A5A9E2DE187}"/>
    <cellStyle name="40% - Accent6 3 2 2 2 7" xfId="4575" xr:uid="{54B91CB2-AFF1-4F79-8797-C1531BF52D50}"/>
    <cellStyle name="40% - Accent6 3 2 2 2 8" xfId="8751" xr:uid="{0F2D9039-46B1-4D2D-906E-12ED7542CC2B}"/>
    <cellStyle name="40% - Accent6 3 2 2 3" xfId="652" xr:uid="{00000000-0005-0000-0000-0000CD020000}"/>
    <cellStyle name="40% - Accent6 3 2 2 3 2" xfId="1478" xr:uid="{3DB87CB9-4F1F-4C74-90C1-20A84676DAFD}"/>
    <cellStyle name="40% - Accent6 3 2 2 3 2 2" xfId="5610" xr:uid="{0CD2AA3D-014F-4A39-9F2F-B07686556D4E}"/>
    <cellStyle name="40% - Accent6 3 2 2 3 3" xfId="2306" xr:uid="{95F70240-7497-411E-B3DE-3DE94CDA2D35}"/>
    <cellStyle name="40% - Accent6 3 2 2 3 3 2" xfId="6437" xr:uid="{A503DF44-46EC-4022-B2FD-CE2F4CC0EEE7}"/>
    <cellStyle name="40% - Accent6 3 2 2 3 4" xfId="3130" xr:uid="{1207CF4D-506F-4D3D-9F8C-15D9C66ED5D2}"/>
    <cellStyle name="40% - Accent6 3 2 2 3 4 2" xfId="7261" xr:uid="{7E995235-3EF5-4AFB-BAEC-AB0643167891}"/>
    <cellStyle name="40% - Accent6 3 2 2 3 5" xfId="3954" xr:uid="{E0EF5C27-7383-4223-878E-49CAE1AAE0B7}"/>
    <cellStyle name="40% - Accent6 3 2 2 3 5 2" xfId="8113" xr:uid="{D9D2CD71-A3BF-42BF-BA5F-17D09564947A}"/>
    <cellStyle name="40% - Accent6 3 2 2 3 6" xfId="4784" xr:uid="{EBE5A892-3176-4DEE-A4CE-A0F237E209D4}"/>
    <cellStyle name="40% - Accent6 3 2 2 3 7" xfId="8960" xr:uid="{25649A86-ACFA-418E-BB91-B08E2CE6CEC2}"/>
    <cellStyle name="40% - Accent6 3 2 2 4" xfId="1060" xr:uid="{BEF2EAEE-3842-49C6-8FAE-448EC631A7D0}"/>
    <cellStyle name="40% - Accent6 3 2 2 4 2" xfId="5192" xr:uid="{AD40DDB6-7210-4647-9F37-0163401ED3E9}"/>
    <cellStyle name="40% - Accent6 3 2 2 5" xfId="1888" xr:uid="{3D6BEA66-0FDC-4709-9CDB-AA37E1D94256}"/>
    <cellStyle name="40% - Accent6 3 2 2 5 2" xfId="6019" xr:uid="{A6CA29A2-70BF-4BA9-80C2-B3B65189ED9B}"/>
    <cellStyle name="40% - Accent6 3 2 2 6" xfId="2712" xr:uid="{A2F91DA3-986B-4A06-946E-258EC14CCF05}"/>
    <cellStyle name="40% - Accent6 3 2 2 6 2" xfId="6843" xr:uid="{BAAF3F26-0D93-44E2-A067-F567B281542B}"/>
    <cellStyle name="40% - Accent6 3 2 2 7" xfId="3536" xr:uid="{D0C7D337-8B6C-4E65-A96B-7C7F0BAB7CFB}"/>
    <cellStyle name="40% - Accent6 3 2 2 7 2" xfId="7695" xr:uid="{6FBB1DE5-5943-4F8C-B723-9A5E76ACF895}"/>
    <cellStyle name="40% - Accent6 3 2 2 8" xfId="4366" xr:uid="{6BB74DA5-2FD6-471A-8985-77CFB9DB57B2}"/>
    <cellStyle name="40% - Accent6 3 2 2 9" xfId="8542" xr:uid="{B7D2C84B-2D8B-4293-ACC4-0732EE44EE3B}"/>
    <cellStyle name="40% - Accent6 3 2 3" xfId="339" xr:uid="{00000000-0005-0000-0000-0000CE020000}"/>
    <cellStyle name="40% - Accent6 3 2 3 2" xfId="756" xr:uid="{00000000-0005-0000-0000-0000CF020000}"/>
    <cellStyle name="40% - Accent6 3 2 3 2 2" xfId="1582" xr:uid="{24221B2D-A919-4B71-8C57-65593747EAFD}"/>
    <cellStyle name="40% - Accent6 3 2 3 2 2 2" xfId="5714" xr:uid="{1FA5ADD4-4848-487E-BF0B-2383986AD886}"/>
    <cellStyle name="40% - Accent6 3 2 3 2 3" xfId="2410" xr:uid="{46243416-2BAA-44E9-81F0-4E3F70F5CB49}"/>
    <cellStyle name="40% - Accent6 3 2 3 2 3 2" xfId="6541" xr:uid="{AF5DC4CE-85B4-45CB-B581-BC0BEC8D5BFE}"/>
    <cellStyle name="40% - Accent6 3 2 3 2 4" xfId="3234" xr:uid="{44833BE1-2613-42BE-A35D-9B6364998764}"/>
    <cellStyle name="40% - Accent6 3 2 3 2 4 2" xfId="7365" xr:uid="{EA8FAB83-E5DF-4464-8898-0D7A1D9F1EEF}"/>
    <cellStyle name="40% - Accent6 3 2 3 2 5" xfId="4058" xr:uid="{AB4F1C5F-0E87-4F42-AB3F-9F01012E77F9}"/>
    <cellStyle name="40% - Accent6 3 2 3 2 5 2" xfId="8217" xr:uid="{55852BFF-566A-42D0-B248-25B223181B18}"/>
    <cellStyle name="40% - Accent6 3 2 3 2 6" xfId="4888" xr:uid="{2422F178-6159-41D1-AE6E-D8FE2E09056D}"/>
    <cellStyle name="40% - Accent6 3 2 3 2 7" xfId="9064" xr:uid="{160A6BAB-D077-4DB4-B0F7-B68F38E49EFF}"/>
    <cellStyle name="40% - Accent6 3 2 3 3" xfId="1165" xr:uid="{FEEF7DF9-69A4-4CBB-8A3E-010A97E0F4C7}"/>
    <cellStyle name="40% - Accent6 3 2 3 3 2" xfId="5297" xr:uid="{EDA69F56-649F-471C-AB1F-16B5D934A00D}"/>
    <cellStyle name="40% - Accent6 3 2 3 4" xfId="1993" xr:uid="{F0C5E825-ED11-4A19-9C2F-220DB3617B3E}"/>
    <cellStyle name="40% - Accent6 3 2 3 4 2" xfId="6124" xr:uid="{6EC1A518-3B4D-4131-BFA5-3B87B90C4A5D}"/>
    <cellStyle name="40% - Accent6 3 2 3 5" xfId="2817" xr:uid="{957C6F01-37AE-4312-A397-53D484F51EFD}"/>
    <cellStyle name="40% - Accent6 3 2 3 5 2" xfId="6948" xr:uid="{23EDA128-F5B4-4028-94EA-06FBF9812AE4}"/>
    <cellStyle name="40% - Accent6 3 2 3 6" xfId="3641" xr:uid="{F5CC3501-F886-4E69-BF67-410F289D344B}"/>
    <cellStyle name="40% - Accent6 3 2 3 6 2" xfId="7800" xr:uid="{FD4D2399-35A4-4DEA-90A6-1AF2EF552279}"/>
    <cellStyle name="40% - Accent6 3 2 3 7" xfId="4471" xr:uid="{C8833AA5-9B82-4D75-B83D-377E0748B432}"/>
    <cellStyle name="40% - Accent6 3 2 3 8" xfId="8647" xr:uid="{4BF6E6A8-3413-41C9-BA5E-4E46FFB6A47A}"/>
    <cellStyle name="40% - Accent6 3 2 4" xfId="548" xr:uid="{00000000-0005-0000-0000-0000D0020000}"/>
    <cellStyle name="40% - Accent6 3 2 4 2" xfId="1374" xr:uid="{B5126C58-C56B-4547-BDD8-AC91005CA30E}"/>
    <cellStyle name="40% - Accent6 3 2 4 2 2" xfId="5506" xr:uid="{ACD2E0AB-A159-41E6-8FD2-E69971E26347}"/>
    <cellStyle name="40% - Accent6 3 2 4 3" xfId="2202" xr:uid="{E1DD2726-83CA-42FA-B60F-B200C782E13D}"/>
    <cellStyle name="40% - Accent6 3 2 4 3 2" xfId="6333" xr:uid="{4FB88A79-D186-4394-9B74-AC7615480254}"/>
    <cellStyle name="40% - Accent6 3 2 4 4" xfId="3026" xr:uid="{594877E1-7B2B-47A1-877E-95ABB9BE707A}"/>
    <cellStyle name="40% - Accent6 3 2 4 4 2" xfId="7157" xr:uid="{CC8BADFB-F638-478B-BF1F-88EFC8D52F8B}"/>
    <cellStyle name="40% - Accent6 3 2 4 5" xfId="3850" xr:uid="{C62C912E-B2D3-4E73-8E90-37E61E85B5F4}"/>
    <cellStyle name="40% - Accent6 3 2 4 5 2" xfId="8009" xr:uid="{D5F77801-FE7F-43A5-89EB-1E76B194ECDA}"/>
    <cellStyle name="40% - Accent6 3 2 4 6" xfId="4680" xr:uid="{DF006F71-9A8A-41F1-BF53-12CF6DFF7236}"/>
    <cellStyle name="40% - Accent6 3 2 4 7" xfId="8856" xr:uid="{0B2E5947-6080-4CF4-ACCB-7985A5C0668B}"/>
    <cellStyle name="40% - Accent6 3 2 5" xfId="955" xr:uid="{DE73F295-47AA-4245-BAA0-88DC56DAF72B}"/>
    <cellStyle name="40% - Accent6 3 2 5 2" xfId="5087" xr:uid="{F1D551F5-0A73-4877-8A55-9EA0AC696833}"/>
    <cellStyle name="40% - Accent6 3 2 6" xfId="1783" xr:uid="{662B4498-E12E-4F11-9943-4316F648C568}"/>
    <cellStyle name="40% - Accent6 3 2 6 2" xfId="5914" xr:uid="{5B0BF16B-D7A3-476A-93C0-2C7382B2253A}"/>
    <cellStyle name="40% - Accent6 3 2 7" xfId="2607" xr:uid="{C1F146B6-FFEB-4784-8A51-562E54BFC5A4}"/>
    <cellStyle name="40% - Accent6 3 2 7 2" xfId="6738" xr:uid="{AA6AB62C-592A-48D5-BD3D-CF42DE0129EB}"/>
    <cellStyle name="40% - Accent6 3 2 8" xfId="3431" xr:uid="{2A3CB990-97F9-4F6F-A8DA-6D96B1E59E7D}"/>
    <cellStyle name="40% - Accent6 3 2 8 2" xfId="7590" xr:uid="{7A51E66F-1AC9-4015-9315-463E1B64C0F9}"/>
    <cellStyle name="40% - Accent6 3 2 9" xfId="4261" xr:uid="{46D2355F-E49E-4424-891D-1A8801297FAB}"/>
    <cellStyle name="40% - Accent6 3 3" xfId="182" xr:uid="{00000000-0005-0000-0000-0000D1020000}"/>
    <cellStyle name="40% - Accent6 3 3 2" xfId="391" xr:uid="{00000000-0005-0000-0000-0000D2020000}"/>
    <cellStyle name="40% - Accent6 3 3 2 2" xfId="808" xr:uid="{00000000-0005-0000-0000-0000D3020000}"/>
    <cellStyle name="40% - Accent6 3 3 2 2 2" xfId="1634" xr:uid="{B1B0E290-FB47-486C-9318-E577A8EE7783}"/>
    <cellStyle name="40% - Accent6 3 3 2 2 2 2" xfId="5766" xr:uid="{7158E9A3-C6EE-4C65-9337-E598B39A4BBC}"/>
    <cellStyle name="40% - Accent6 3 3 2 2 3" xfId="2462" xr:uid="{28EB05BF-ACBC-43BE-948D-69265F70481A}"/>
    <cellStyle name="40% - Accent6 3 3 2 2 3 2" xfId="6593" xr:uid="{572D9C35-AABE-4DBE-8E8B-82765C17DEFB}"/>
    <cellStyle name="40% - Accent6 3 3 2 2 4" xfId="3286" xr:uid="{338A4F5D-2831-47CD-8F1D-4B04B1702CC2}"/>
    <cellStyle name="40% - Accent6 3 3 2 2 4 2" xfId="7417" xr:uid="{AD340300-DB4E-4CCD-A5D0-CBE262150740}"/>
    <cellStyle name="40% - Accent6 3 3 2 2 5" xfId="4110" xr:uid="{E430AFEA-0AAE-46B8-BAA2-286DB2C989DD}"/>
    <cellStyle name="40% - Accent6 3 3 2 2 5 2" xfId="8269" xr:uid="{48E70C80-BE8D-45AA-AA97-5168A2F54D85}"/>
    <cellStyle name="40% - Accent6 3 3 2 2 6" xfId="4940" xr:uid="{B431E0E2-4D2A-4C35-B140-45C977E2B419}"/>
    <cellStyle name="40% - Accent6 3 3 2 2 7" xfId="9116" xr:uid="{80EDFB92-8113-4FC5-B33C-2C7B7F6CA99A}"/>
    <cellStyle name="40% - Accent6 3 3 2 3" xfId="1217" xr:uid="{FF771765-DA2C-4605-98C7-FA2A12798627}"/>
    <cellStyle name="40% - Accent6 3 3 2 3 2" xfId="5349" xr:uid="{C1CEA47C-2BC3-4965-B410-F4866EF72A33}"/>
    <cellStyle name="40% - Accent6 3 3 2 4" xfId="2045" xr:uid="{F9891F07-2CAA-4B61-BADE-40F099892BB8}"/>
    <cellStyle name="40% - Accent6 3 3 2 4 2" xfId="6176" xr:uid="{1ACD6A65-90EA-47C9-B5BF-54C348C85C3A}"/>
    <cellStyle name="40% - Accent6 3 3 2 5" xfId="2869" xr:uid="{42F89939-49D3-45FC-B06C-21784EDC77DA}"/>
    <cellStyle name="40% - Accent6 3 3 2 5 2" xfId="7000" xr:uid="{A3724800-B077-43A8-B94C-39F8462E567F}"/>
    <cellStyle name="40% - Accent6 3 3 2 6" xfId="3693" xr:uid="{C352E079-33C6-4938-B681-3BD6EF4FC41B}"/>
    <cellStyle name="40% - Accent6 3 3 2 6 2" xfId="7852" xr:uid="{828DE907-4CDC-41AD-99A3-7B71496E60D5}"/>
    <cellStyle name="40% - Accent6 3 3 2 7" xfId="4523" xr:uid="{3D8F7384-EC4B-4789-9DCB-346E79B8A7C9}"/>
    <cellStyle name="40% - Accent6 3 3 2 8" xfId="8699" xr:uid="{6AB00984-2171-4482-9C56-60563D433FB3}"/>
    <cellStyle name="40% - Accent6 3 3 3" xfId="600" xr:uid="{00000000-0005-0000-0000-0000D4020000}"/>
    <cellStyle name="40% - Accent6 3 3 3 2" xfId="1426" xr:uid="{0A8D9314-1E6E-49CC-BA6A-960DABE1E767}"/>
    <cellStyle name="40% - Accent6 3 3 3 2 2" xfId="5558" xr:uid="{513988BB-21B7-4ADF-987B-8039816A5065}"/>
    <cellStyle name="40% - Accent6 3 3 3 3" xfId="2254" xr:uid="{077F7D86-FB28-4C0E-9958-03E5338A8E5D}"/>
    <cellStyle name="40% - Accent6 3 3 3 3 2" xfId="6385" xr:uid="{0E52EF31-8E30-4EA0-A7BF-74F0527C620D}"/>
    <cellStyle name="40% - Accent6 3 3 3 4" xfId="3078" xr:uid="{A0008734-D9B3-437B-8B2F-BE8BF57BB6D6}"/>
    <cellStyle name="40% - Accent6 3 3 3 4 2" xfId="7209" xr:uid="{DE2E96E1-A364-4381-A3AC-0E0D31084F58}"/>
    <cellStyle name="40% - Accent6 3 3 3 5" xfId="3902" xr:uid="{AA2FEF65-CE6F-46E7-8B4C-7617776F8545}"/>
    <cellStyle name="40% - Accent6 3 3 3 5 2" xfId="8061" xr:uid="{FD196BD2-A360-49F0-A993-BC403635EC14}"/>
    <cellStyle name="40% - Accent6 3 3 3 6" xfId="4732" xr:uid="{D0F20DBF-B818-41F2-AD89-C5A435E5FA5A}"/>
    <cellStyle name="40% - Accent6 3 3 3 7" xfId="8908" xr:uid="{94CC5273-A45A-4844-862F-6F324A3C2AEC}"/>
    <cellStyle name="40% - Accent6 3 3 4" xfId="1008" xr:uid="{9F8C7FAD-3157-4868-9E2F-3F47B95BC318}"/>
    <cellStyle name="40% - Accent6 3 3 4 2" xfId="5140" xr:uid="{7A8447E8-E1AC-4281-A488-497EE72510D9}"/>
    <cellStyle name="40% - Accent6 3 3 5" xfId="1836" xr:uid="{1480D58E-61A7-4658-86FD-BD85E61A5FD7}"/>
    <cellStyle name="40% - Accent6 3 3 5 2" xfId="5967" xr:uid="{DD0DFC34-E2BC-49D8-9D07-85ECE8FDF479}"/>
    <cellStyle name="40% - Accent6 3 3 6" xfId="2660" xr:uid="{3BBC7B84-3B5B-4970-A068-B16FAB399354}"/>
    <cellStyle name="40% - Accent6 3 3 6 2" xfId="6791" xr:uid="{25D5A990-F4DD-4433-B384-576FEF0B3A7C}"/>
    <cellStyle name="40% - Accent6 3 3 7" xfId="3484" xr:uid="{7B8A6204-728B-44E0-B2A8-CED63CE56C00}"/>
    <cellStyle name="40% - Accent6 3 3 7 2" xfId="7643" xr:uid="{40569EFF-07A8-4441-98BF-4254E62CD94F}"/>
    <cellStyle name="40% - Accent6 3 3 8" xfId="4314" xr:uid="{F0FD40A0-6AFD-4BE9-BD41-DC204A3EF306}"/>
    <cellStyle name="40% - Accent6 3 3 9" xfId="8490" xr:uid="{42CD975A-2877-45DE-B533-CEF263E47929}"/>
    <cellStyle name="40% - Accent6 3 4" xfId="287" xr:uid="{00000000-0005-0000-0000-0000D5020000}"/>
    <cellStyle name="40% - Accent6 3 4 2" xfId="704" xr:uid="{00000000-0005-0000-0000-0000D6020000}"/>
    <cellStyle name="40% - Accent6 3 4 2 2" xfId="1530" xr:uid="{335B3F71-ABCB-4F24-9D90-2685AF71296E}"/>
    <cellStyle name="40% - Accent6 3 4 2 2 2" xfId="5662" xr:uid="{092F54EA-4BE7-4025-BBF8-C0E0FF4FB697}"/>
    <cellStyle name="40% - Accent6 3 4 2 3" xfId="2358" xr:uid="{BDF4B28A-3D5B-42F6-9220-D54A209CB993}"/>
    <cellStyle name="40% - Accent6 3 4 2 3 2" xfId="6489" xr:uid="{767120F3-760D-4FF4-8AD9-DAEC8B53C5F8}"/>
    <cellStyle name="40% - Accent6 3 4 2 4" xfId="3182" xr:uid="{C36064D1-A864-4F8B-8B1F-CA895950930B}"/>
    <cellStyle name="40% - Accent6 3 4 2 4 2" xfId="7313" xr:uid="{BABD0E60-8601-41A9-9428-4AA7A16A9859}"/>
    <cellStyle name="40% - Accent6 3 4 2 5" xfId="4006" xr:uid="{51724277-95DE-4783-B929-5F06359B18F2}"/>
    <cellStyle name="40% - Accent6 3 4 2 5 2" xfId="8165" xr:uid="{6F409D39-8EC9-453D-B659-855EBA049E6B}"/>
    <cellStyle name="40% - Accent6 3 4 2 6" xfId="4836" xr:uid="{2ED59C21-0FA9-41AB-BD48-0B4E6BD99577}"/>
    <cellStyle name="40% - Accent6 3 4 2 7" xfId="9012" xr:uid="{574130CE-BEB8-4820-86C7-CF02080598E5}"/>
    <cellStyle name="40% - Accent6 3 4 3" xfId="1113" xr:uid="{36FBAE8D-DEC4-43C1-8EDE-DF617FA348CA}"/>
    <cellStyle name="40% - Accent6 3 4 3 2" xfId="5245" xr:uid="{08B6EA19-EC86-49E4-BF12-B3DE180DF5F7}"/>
    <cellStyle name="40% - Accent6 3 4 4" xfId="1941" xr:uid="{39F591DD-90E0-44B1-8C96-C3EBB0C1A95D}"/>
    <cellStyle name="40% - Accent6 3 4 4 2" xfId="6072" xr:uid="{EC25E835-D41B-4A47-9501-29BF62482341}"/>
    <cellStyle name="40% - Accent6 3 4 5" xfId="2765" xr:uid="{FDEEDA64-CC63-48CB-901F-BDED228C7809}"/>
    <cellStyle name="40% - Accent6 3 4 5 2" xfId="6896" xr:uid="{566D8E6B-775D-4890-A041-A80B4E9EC254}"/>
    <cellStyle name="40% - Accent6 3 4 6" xfId="3589" xr:uid="{27F81BB7-75EB-42BC-A419-6CE20D9E37AB}"/>
    <cellStyle name="40% - Accent6 3 4 6 2" xfId="7748" xr:uid="{B54AD4B7-210A-47A7-9BBF-11F07B07AB3C}"/>
    <cellStyle name="40% - Accent6 3 4 7" xfId="4419" xr:uid="{379A101F-7C47-4B2B-8F7B-368F19398B6C}"/>
    <cellStyle name="40% - Accent6 3 4 8" xfId="8595" xr:uid="{939BEF4D-A5A5-4F39-942E-67160BE740B4}"/>
    <cellStyle name="40% - Accent6 3 5" xfId="496" xr:uid="{00000000-0005-0000-0000-0000D7020000}"/>
    <cellStyle name="40% - Accent6 3 5 2" xfId="1322" xr:uid="{C0AEB886-3F3E-4FE1-BCE5-41E24748F445}"/>
    <cellStyle name="40% - Accent6 3 5 2 2" xfId="5454" xr:uid="{E8D71A35-BB99-484C-B99D-09E0F52DA973}"/>
    <cellStyle name="40% - Accent6 3 5 3" xfId="2150" xr:uid="{F2C6BBA5-F6B1-4109-87ED-8F80D48FFED5}"/>
    <cellStyle name="40% - Accent6 3 5 3 2" xfId="6281" xr:uid="{94C78E4E-6CE5-489D-A72D-8A88C8A171D1}"/>
    <cellStyle name="40% - Accent6 3 5 4" xfId="2974" xr:uid="{3B2CEDD6-4BC8-4076-8D9F-4F49C32FBE24}"/>
    <cellStyle name="40% - Accent6 3 5 4 2" xfId="7105" xr:uid="{CF0CB761-D419-4A8A-88E8-BA0B5AD6737E}"/>
    <cellStyle name="40% - Accent6 3 5 5" xfId="3798" xr:uid="{FAE949F2-2D14-4396-95C8-C09DC5063E19}"/>
    <cellStyle name="40% - Accent6 3 5 5 2" xfId="7957" xr:uid="{9048D296-AAC4-4ECB-A2EB-27E0443C3B9C}"/>
    <cellStyle name="40% - Accent6 3 5 6" xfId="4628" xr:uid="{E89BD25C-A5A3-429C-B7DE-21DE7BD0B2FB}"/>
    <cellStyle name="40% - Accent6 3 5 7" xfId="8804" xr:uid="{FC617D55-10FB-424E-B1B6-891B43B72F9C}"/>
    <cellStyle name="40% - Accent6 3 6" xfId="902" xr:uid="{6CB338F2-54BF-4BFA-8417-887251837741}"/>
    <cellStyle name="40% - Accent6 3 6 2" xfId="5034" xr:uid="{A61154D0-60EA-4743-A469-49A98002ADE3}"/>
    <cellStyle name="40% - Accent6 3 7" xfId="1730" xr:uid="{C3B8BC24-5B8A-43BC-8224-F371486B692F}"/>
    <cellStyle name="40% - Accent6 3 7 2" xfId="5861" xr:uid="{684E4657-70FD-4133-B4C2-2A32E8F82991}"/>
    <cellStyle name="40% - Accent6 3 8" xfId="2554" xr:uid="{0A69DD40-18C6-4AC7-934E-7C633E1B8C6C}"/>
    <cellStyle name="40% - Accent6 3 8 2" xfId="6685" xr:uid="{916CD348-3235-42BF-86F4-3DB797650C87}"/>
    <cellStyle name="40% - Accent6 3 9" xfId="3378" xr:uid="{B640161B-32BD-4CCC-9C71-278422C88967}"/>
    <cellStyle name="40% - Accent6 3 9 2" xfId="7537" xr:uid="{87354C89-49A3-4A1C-A006-67C1446C4DCB}"/>
    <cellStyle name="40% - Accent6 4" xfId="89" xr:uid="{00000000-0005-0000-0000-0000D8020000}"/>
    <cellStyle name="40% - Accent6 4 10" xfId="8397" xr:uid="{BA949E92-7336-4F0E-9BA7-572B9F681668}"/>
    <cellStyle name="40% - Accent6 4 2" xfId="195" xr:uid="{00000000-0005-0000-0000-0000D9020000}"/>
    <cellStyle name="40% - Accent6 4 2 2" xfId="404" xr:uid="{00000000-0005-0000-0000-0000DA020000}"/>
    <cellStyle name="40% - Accent6 4 2 2 2" xfId="821" xr:uid="{00000000-0005-0000-0000-0000DB020000}"/>
    <cellStyle name="40% - Accent6 4 2 2 2 2" xfId="1647" xr:uid="{591CC040-5133-42CF-A159-9F19A6183831}"/>
    <cellStyle name="40% - Accent6 4 2 2 2 2 2" xfId="5779" xr:uid="{1D711C09-18E6-42F9-8C0D-9DCB94586E3E}"/>
    <cellStyle name="40% - Accent6 4 2 2 2 3" xfId="2475" xr:uid="{1356730D-FA21-4FE7-B811-80A48CE7204E}"/>
    <cellStyle name="40% - Accent6 4 2 2 2 3 2" xfId="6606" xr:uid="{5BA3F110-32B7-4C0B-B7D2-2DBD68CDD52B}"/>
    <cellStyle name="40% - Accent6 4 2 2 2 4" xfId="3299" xr:uid="{DE595B5F-6FF5-43B5-AA5E-DA5A4A8ED223}"/>
    <cellStyle name="40% - Accent6 4 2 2 2 4 2" xfId="7430" xr:uid="{00B75945-3442-4A4E-8CEE-E298E363E4F4}"/>
    <cellStyle name="40% - Accent6 4 2 2 2 5" xfId="4123" xr:uid="{69EE3299-4496-46A5-B9FC-7812F75FBDFB}"/>
    <cellStyle name="40% - Accent6 4 2 2 2 5 2" xfId="8282" xr:uid="{604A1E37-17F5-4776-977B-8DC8523B86EA}"/>
    <cellStyle name="40% - Accent6 4 2 2 2 6" xfId="4953" xr:uid="{676C039F-ED18-464A-A031-6A3D57800E4D}"/>
    <cellStyle name="40% - Accent6 4 2 2 2 7" xfId="9129" xr:uid="{B7DD89B5-B14C-4065-A8B4-87D865EDD179}"/>
    <cellStyle name="40% - Accent6 4 2 2 3" xfId="1230" xr:uid="{E5C0C5F1-7711-4FC5-8117-9C7F78ECE4FA}"/>
    <cellStyle name="40% - Accent6 4 2 2 3 2" xfId="5362" xr:uid="{63D00FE4-1986-4C99-9A1E-58F534C4AC43}"/>
    <cellStyle name="40% - Accent6 4 2 2 4" xfId="2058" xr:uid="{A6FB552D-163C-41A0-BB4E-F83992C635EC}"/>
    <cellStyle name="40% - Accent6 4 2 2 4 2" xfId="6189" xr:uid="{88AD07AB-1EAF-4433-AA11-AA315BE89193}"/>
    <cellStyle name="40% - Accent6 4 2 2 5" xfId="2882" xr:uid="{EDAA50E4-78D1-468B-A557-A3C1B8D00A72}"/>
    <cellStyle name="40% - Accent6 4 2 2 5 2" xfId="7013" xr:uid="{5BDB98E4-D109-475F-89E3-DFEAD3EA75C7}"/>
    <cellStyle name="40% - Accent6 4 2 2 6" xfId="3706" xr:uid="{E6296161-E4F0-4312-B93C-80981E27DD52}"/>
    <cellStyle name="40% - Accent6 4 2 2 6 2" xfId="7865" xr:uid="{EB51185A-0686-4A57-9E1E-3FDAE23A61BD}"/>
    <cellStyle name="40% - Accent6 4 2 2 7" xfId="4536" xr:uid="{95AD4F0F-7282-4684-902B-4B21C5E37BEE}"/>
    <cellStyle name="40% - Accent6 4 2 2 8" xfId="8712" xr:uid="{6AF8D0D9-AFBF-46E6-B60D-6F5CDDBB268E}"/>
    <cellStyle name="40% - Accent6 4 2 3" xfId="613" xr:uid="{00000000-0005-0000-0000-0000DC020000}"/>
    <cellStyle name="40% - Accent6 4 2 3 2" xfId="1439" xr:uid="{E746B0A4-DE63-464A-834E-5A8FBFF7A67E}"/>
    <cellStyle name="40% - Accent6 4 2 3 2 2" xfId="5571" xr:uid="{FC207408-816B-4EB6-A9AF-B4BC63A0D8FA}"/>
    <cellStyle name="40% - Accent6 4 2 3 3" xfId="2267" xr:uid="{7F206C60-DB15-484A-95B6-C060F89EDBE1}"/>
    <cellStyle name="40% - Accent6 4 2 3 3 2" xfId="6398" xr:uid="{0F96996B-7F34-4449-BF18-621D626DE211}"/>
    <cellStyle name="40% - Accent6 4 2 3 4" xfId="3091" xr:uid="{23E93079-079D-4E30-9C29-1C311850BBBA}"/>
    <cellStyle name="40% - Accent6 4 2 3 4 2" xfId="7222" xr:uid="{9C53D958-9486-4AF5-8AAE-EF7DE47A931A}"/>
    <cellStyle name="40% - Accent6 4 2 3 5" xfId="3915" xr:uid="{9CA64D33-570E-4E37-B8A2-54A0C0EFD0F5}"/>
    <cellStyle name="40% - Accent6 4 2 3 5 2" xfId="8074" xr:uid="{21D00B1E-F506-4ABD-8D00-6ACB036BE2D8}"/>
    <cellStyle name="40% - Accent6 4 2 3 6" xfId="4745" xr:uid="{156DF4CF-5659-47B7-957A-057AF6548049}"/>
    <cellStyle name="40% - Accent6 4 2 3 7" xfId="8921" xr:uid="{DFDB123F-47D7-4A58-BD0A-D0FFB62F4C1B}"/>
    <cellStyle name="40% - Accent6 4 2 4" xfId="1021" xr:uid="{7C1BFA72-E07C-4CF2-97D9-18EDCA517552}"/>
    <cellStyle name="40% - Accent6 4 2 4 2" xfId="5153" xr:uid="{9FA6BA63-714E-45D4-A267-1EE3627B0D65}"/>
    <cellStyle name="40% - Accent6 4 2 5" xfId="1849" xr:uid="{65E8027D-36CF-4EC2-A77C-C14AE4303523}"/>
    <cellStyle name="40% - Accent6 4 2 5 2" xfId="5980" xr:uid="{D37C9BC1-352D-4B87-B00F-62E1BE4BC3D8}"/>
    <cellStyle name="40% - Accent6 4 2 6" xfId="2673" xr:uid="{168849E0-E00B-4ABA-A3E8-5A30DBFB2B8F}"/>
    <cellStyle name="40% - Accent6 4 2 6 2" xfId="6804" xr:uid="{E02EE6B4-6008-4160-9D4A-7C3AE9FAA101}"/>
    <cellStyle name="40% - Accent6 4 2 7" xfId="3497" xr:uid="{C8BABD20-FC6C-4A8C-BB5D-0A55A5890786}"/>
    <cellStyle name="40% - Accent6 4 2 7 2" xfId="7656" xr:uid="{3820BED5-7619-4B9E-BC6E-45919E2F21BE}"/>
    <cellStyle name="40% - Accent6 4 2 8" xfId="4327" xr:uid="{974F440A-2131-4B67-9347-BEE0F5403F74}"/>
    <cellStyle name="40% - Accent6 4 2 9" xfId="8503" xr:uid="{08FA70FC-87F8-4820-8CF3-E7595DBDF496}"/>
    <cellStyle name="40% - Accent6 4 3" xfId="300" xr:uid="{00000000-0005-0000-0000-0000DD020000}"/>
    <cellStyle name="40% - Accent6 4 3 2" xfId="717" xr:uid="{00000000-0005-0000-0000-0000DE020000}"/>
    <cellStyle name="40% - Accent6 4 3 2 2" xfId="1543" xr:uid="{B4A2BDC0-6AC5-40DE-A649-BE303E01299F}"/>
    <cellStyle name="40% - Accent6 4 3 2 2 2" xfId="5675" xr:uid="{613277B2-5BA2-4414-9CF7-89305FC5F816}"/>
    <cellStyle name="40% - Accent6 4 3 2 3" xfId="2371" xr:uid="{D130CF4E-B4DF-4EF4-BF05-F99B2D85233F}"/>
    <cellStyle name="40% - Accent6 4 3 2 3 2" xfId="6502" xr:uid="{19B5392B-E159-49D2-A4C5-2B54F744B142}"/>
    <cellStyle name="40% - Accent6 4 3 2 4" xfId="3195" xr:uid="{2E5CBB33-5468-4E3D-B7DA-3D5675AF98F4}"/>
    <cellStyle name="40% - Accent6 4 3 2 4 2" xfId="7326" xr:uid="{E8CA48AA-6A32-43C1-AC86-C2D428899BEF}"/>
    <cellStyle name="40% - Accent6 4 3 2 5" xfId="4019" xr:uid="{64431A76-486C-46C6-99C6-8BA1AB868BA2}"/>
    <cellStyle name="40% - Accent6 4 3 2 5 2" xfId="8178" xr:uid="{B8D44C73-E4AE-4934-982F-5746AFED7CF1}"/>
    <cellStyle name="40% - Accent6 4 3 2 6" xfId="4849" xr:uid="{707FBBC4-14A4-44D9-B68C-DC5ED1D89171}"/>
    <cellStyle name="40% - Accent6 4 3 2 7" xfId="9025" xr:uid="{55C9ED03-DE96-47B3-AB12-BC1D727427DB}"/>
    <cellStyle name="40% - Accent6 4 3 3" xfId="1126" xr:uid="{19B7D324-09C3-4753-8B07-71A139462847}"/>
    <cellStyle name="40% - Accent6 4 3 3 2" xfId="5258" xr:uid="{F45165CF-A8F8-431C-BFDF-610A719F866D}"/>
    <cellStyle name="40% - Accent6 4 3 4" xfId="1954" xr:uid="{D0CF8E7D-6559-4FC9-862F-040F9E0E911C}"/>
    <cellStyle name="40% - Accent6 4 3 4 2" xfId="6085" xr:uid="{8956EB3F-DBCB-4F46-8A33-DCB6A7FE1258}"/>
    <cellStyle name="40% - Accent6 4 3 5" xfId="2778" xr:uid="{5FEDCCB0-D2E5-4524-A265-E4E2BB8D77CC}"/>
    <cellStyle name="40% - Accent6 4 3 5 2" xfId="6909" xr:uid="{F1F21F67-C0BD-451C-BDD8-3D399CAA9EE5}"/>
    <cellStyle name="40% - Accent6 4 3 6" xfId="3602" xr:uid="{2D670DB9-FF50-4A1B-B9C2-83D07549A369}"/>
    <cellStyle name="40% - Accent6 4 3 6 2" xfId="7761" xr:uid="{3D9CB8C0-43A5-4FA6-B6E0-DC8CD3B5511A}"/>
    <cellStyle name="40% - Accent6 4 3 7" xfId="4432" xr:uid="{ECDF20DB-D622-4B60-8E3A-6B43DB764450}"/>
    <cellStyle name="40% - Accent6 4 3 8" xfId="8608" xr:uid="{82F3F11E-2910-4D27-AD60-9C5E2DAC51D7}"/>
    <cellStyle name="40% - Accent6 4 4" xfId="509" xr:uid="{00000000-0005-0000-0000-0000DF020000}"/>
    <cellStyle name="40% - Accent6 4 4 2" xfId="1335" xr:uid="{46E6EF46-036B-4567-B1FF-4DC882F2AE7E}"/>
    <cellStyle name="40% - Accent6 4 4 2 2" xfId="5467" xr:uid="{EF887C3A-5282-4F8C-8D70-98B1C5525DB8}"/>
    <cellStyle name="40% - Accent6 4 4 3" xfId="2163" xr:uid="{A8C6984C-485F-4581-8C08-8FB3A16921CC}"/>
    <cellStyle name="40% - Accent6 4 4 3 2" xfId="6294" xr:uid="{F8965EEC-B0C5-4252-A04E-F7FBD90DBB7E}"/>
    <cellStyle name="40% - Accent6 4 4 4" xfId="2987" xr:uid="{ABBACD66-4C06-4082-8075-DEA3C7FD3F61}"/>
    <cellStyle name="40% - Accent6 4 4 4 2" xfId="7118" xr:uid="{9BE65786-0D12-4FCD-9139-12853570D8DD}"/>
    <cellStyle name="40% - Accent6 4 4 5" xfId="3811" xr:uid="{02B60C60-A8D1-4A39-8631-A345D55B2A93}"/>
    <cellStyle name="40% - Accent6 4 4 5 2" xfId="7970" xr:uid="{11CE92C2-9A1D-4D4D-8237-8FB7E8B42191}"/>
    <cellStyle name="40% - Accent6 4 4 6" xfId="4641" xr:uid="{AA435C5B-2ACD-4984-8F91-09A838015ABB}"/>
    <cellStyle name="40% - Accent6 4 4 7" xfId="8817" xr:uid="{A73A7232-DE4B-4A49-8C86-DC68D8CBF273}"/>
    <cellStyle name="40% - Accent6 4 5" xfId="915" xr:uid="{7F8119B1-628F-4880-A091-F1BE36516069}"/>
    <cellStyle name="40% - Accent6 4 5 2" xfId="5047" xr:uid="{A20D9467-1EC6-4EF2-933D-B57457D325ED}"/>
    <cellStyle name="40% - Accent6 4 6" xfId="1743" xr:uid="{F55FF252-640C-4A55-91DB-5BEB80457D65}"/>
    <cellStyle name="40% - Accent6 4 6 2" xfId="5874" xr:uid="{936CC7B8-AF6C-40C8-A2C7-69FEE791BC9C}"/>
    <cellStyle name="40% - Accent6 4 7" xfId="2567" xr:uid="{4D53A446-56E3-47F5-9265-70F02DAB7276}"/>
    <cellStyle name="40% - Accent6 4 7 2" xfId="6698" xr:uid="{3086E357-3BE5-479C-8B79-8E3882AD2082}"/>
    <cellStyle name="40% - Accent6 4 8" xfId="3391" xr:uid="{83F5E328-09AB-4F6B-9138-A4BE469B1C11}"/>
    <cellStyle name="40% - Accent6 4 8 2" xfId="7550" xr:uid="{EFA9C288-C9BA-47D9-81A9-09B3C9A98252}"/>
    <cellStyle name="40% - Accent6 4 9" xfId="4221" xr:uid="{A35EDAD7-C414-4D70-8486-4EA2E25B6A52}"/>
    <cellStyle name="40% - Accent6 5" xfId="102" xr:uid="{00000000-0005-0000-0000-0000E0020000}"/>
    <cellStyle name="40% - Accent6 5 10" xfId="8410" xr:uid="{DE8DADA0-C19A-4CCA-AFE2-C94C418B073D}"/>
    <cellStyle name="40% - Accent6 5 2" xfId="207" xr:uid="{00000000-0005-0000-0000-0000E1020000}"/>
    <cellStyle name="40% - Accent6 5 2 2" xfId="416" xr:uid="{00000000-0005-0000-0000-0000E2020000}"/>
    <cellStyle name="40% - Accent6 5 2 2 2" xfId="833" xr:uid="{00000000-0005-0000-0000-0000E3020000}"/>
    <cellStyle name="40% - Accent6 5 2 2 2 2" xfId="1659" xr:uid="{5B8FED65-F532-49EF-9EC8-1AD857842DF5}"/>
    <cellStyle name="40% - Accent6 5 2 2 2 2 2" xfId="5791" xr:uid="{E3A31E56-27FB-4D0F-8AF5-247D44CFB9C7}"/>
    <cellStyle name="40% - Accent6 5 2 2 2 3" xfId="2487" xr:uid="{76CA465E-B120-4E1D-8C25-5D7761CAC4D0}"/>
    <cellStyle name="40% - Accent6 5 2 2 2 3 2" xfId="6618" xr:uid="{AF161936-1ED4-4542-93F3-49C036EF97CA}"/>
    <cellStyle name="40% - Accent6 5 2 2 2 4" xfId="3311" xr:uid="{F3B4B8F0-058E-4F2A-980C-BA78024CAA78}"/>
    <cellStyle name="40% - Accent6 5 2 2 2 4 2" xfId="7442" xr:uid="{DD13A8AF-3C2B-4DE2-B863-8AF9C40EA9FF}"/>
    <cellStyle name="40% - Accent6 5 2 2 2 5" xfId="4135" xr:uid="{AD1155FD-457F-45B0-A0A0-960119384F8C}"/>
    <cellStyle name="40% - Accent6 5 2 2 2 5 2" xfId="8294" xr:uid="{D5E6DDA9-EFE4-484C-A00E-F8360389A13F}"/>
    <cellStyle name="40% - Accent6 5 2 2 2 6" xfId="4965" xr:uid="{EABA3C71-3899-4E75-A12F-1D1013BF45E8}"/>
    <cellStyle name="40% - Accent6 5 2 2 2 7" xfId="9141" xr:uid="{33A2F035-C263-4230-A7E5-346C5D5F8E91}"/>
    <cellStyle name="40% - Accent6 5 2 2 3" xfId="1242" xr:uid="{9B4B6F2D-A826-4E53-B32E-A886F04AB340}"/>
    <cellStyle name="40% - Accent6 5 2 2 3 2" xfId="5374" xr:uid="{87888A82-159D-4DFD-B29B-423A01F748EB}"/>
    <cellStyle name="40% - Accent6 5 2 2 4" xfId="2070" xr:uid="{D9340B26-120E-409F-8B52-40D8245C3321}"/>
    <cellStyle name="40% - Accent6 5 2 2 4 2" xfId="6201" xr:uid="{193F2DD0-52A1-420C-8247-FAD446E12237}"/>
    <cellStyle name="40% - Accent6 5 2 2 5" xfId="2894" xr:uid="{8AF18F6C-DA7C-4C74-98E5-7629857161A9}"/>
    <cellStyle name="40% - Accent6 5 2 2 5 2" xfId="7025" xr:uid="{8C065D3B-304A-4F06-A01D-3606C9ADA49D}"/>
    <cellStyle name="40% - Accent6 5 2 2 6" xfId="3718" xr:uid="{EA1CAD1C-E2E8-42EB-8858-1BA0B0F3C298}"/>
    <cellStyle name="40% - Accent6 5 2 2 6 2" xfId="7877" xr:uid="{22E27685-9C21-4A25-96E8-030EE5E3515E}"/>
    <cellStyle name="40% - Accent6 5 2 2 7" xfId="4548" xr:uid="{18A3B625-D469-411F-9AE2-47B8C26D9A7D}"/>
    <cellStyle name="40% - Accent6 5 2 2 8" xfId="8724" xr:uid="{E4A5C583-17F0-4724-B1C6-542B6C3735E4}"/>
    <cellStyle name="40% - Accent6 5 2 3" xfId="625" xr:uid="{00000000-0005-0000-0000-0000E4020000}"/>
    <cellStyle name="40% - Accent6 5 2 3 2" xfId="1451" xr:uid="{7E1CACF9-EB52-43CE-9724-AA6FEA900B1D}"/>
    <cellStyle name="40% - Accent6 5 2 3 2 2" xfId="5583" xr:uid="{E1CADA00-B54A-4C6F-954B-3FBA9A0CA4BD}"/>
    <cellStyle name="40% - Accent6 5 2 3 3" xfId="2279" xr:uid="{C7C8739D-A2AA-4005-B755-113BCEA05841}"/>
    <cellStyle name="40% - Accent6 5 2 3 3 2" xfId="6410" xr:uid="{5FEDEB26-21B1-46D7-AE29-E8B96DF30B6E}"/>
    <cellStyle name="40% - Accent6 5 2 3 4" xfId="3103" xr:uid="{6AE46982-6357-4827-AC0A-81E30E2183FB}"/>
    <cellStyle name="40% - Accent6 5 2 3 4 2" xfId="7234" xr:uid="{21C5A96E-11BB-4635-A119-9E475CB19573}"/>
    <cellStyle name="40% - Accent6 5 2 3 5" xfId="3927" xr:uid="{5EC9F10E-A03B-4FC0-B7A3-D012C9EC3AC4}"/>
    <cellStyle name="40% - Accent6 5 2 3 5 2" xfId="8086" xr:uid="{7D9EF01C-C4D6-4473-981A-692DB75B8355}"/>
    <cellStyle name="40% - Accent6 5 2 3 6" xfId="4757" xr:uid="{8B697F91-6C64-45D1-AEC8-2C86FDDE61D9}"/>
    <cellStyle name="40% - Accent6 5 2 3 7" xfId="8933" xr:uid="{ED413221-0E18-4E18-8B05-E7DB2C7C3F36}"/>
    <cellStyle name="40% - Accent6 5 2 4" xfId="1033" xr:uid="{2827231E-C5EC-41F4-8EC1-EDC7404FBC40}"/>
    <cellStyle name="40% - Accent6 5 2 4 2" xfId="5165" xr:uid="{CD491D05-85D7-4945-97A8-F1DF294B2E26}"/>
    <cellStyle name="40% - Accent6 5 2 5" xfId="1861" xr:uid="{17B6CF7F-E008-4C40-AAAC-7030F90C0B0B}"/>
    <cellStyle name="40% - Accent6 5 2 5 2" xfId="5992" xr:uid="{E18B8F15-0E57-4660-AC2D-375507C00FAE}"/>
    <cellStyle name="40% - Accent6 5 2 6" xfId="2685" xr:uid="{F6DB8DAE-5E8D-41E0-8BD6-D5E91B8620D2}"/>
    <cellStyle name="40% - Accent6 5 2 6 2" xfId="6816" xr:uid="{5C3EBA34-E2B9-40FE-82D0-D3F288D9E4F0}"/>
    <cellStyle name="40% - Accent6 5 2 7" xfId="3509" xr:uid="{17552D05-2E2D-48B6-B4B3-5C52D50FC94A}"/>
    <cellStyle name="40% - Accent6 5 2 7 2" xfId="7668" xr:uid="{31801B1E-21B8-413C-B049-DE1A22BFE681}"/>
    <cellStyle name="40% - Accent6 5 2 8" xfId="4339" xr:uid="{22D9DBC5-4307-4471-B2FE-150C137CDE59}"/>
    <cellStyle name="40% - Accent6 5 2 9" xfId="8515" xr:uid="{5CB2B517-1329-427B-9583-7415541C8D29}"/>
    <cellStyle name="40% - Accent6 5 3" xfId="312" xr:uid="{00000000-0005-0000-0000-0000E5020000}"/>
    <cellStyle name="40% - Accent6 5 3 2" xfId="729" xr:uid="{00000000-0005-0000-0000-0000E6020000}"/>
    <cellStyle name="40% - Accent6 5 3 2 2" xfId="1555" xr:uid="{542BC945-6132-4600-B934-D2BE74975555}"/>
    <cellStyle name="40% - Accent6 5 3 2 2 2" xfId="5687" xr:uid="{8C5F37A5-7AA1-470B-8603-B1F8F3276BF9}"/>
    <cellStyle name="40% - Accent6 5 3 2 3" xfId="2383" xr:uid="{4606EC7E-3968-41E8-8A65-F9441AEB0326}"/>
    <cellStyle name="40% - Accent6 5 3 2 3 2" xfId="6514" xr:uid="{BE69894C-5C6B-405D-A1D6-2C91C4732B61}"/>
    <cellStyle name="40% - Accent6 5 3 2 4" xfId="3207" xr:uid="{F98194EE-3F77-410A-8664-8D33DCF2E20D}"/>
    <cellStyle name="40% - Accent6 5 3 2 4 2" xfId="7338" xr:uid="{B29B312F-CF7C-41D9-9E9C-8D18FF1E2DA0}"/>
    <cellStyle name="40% - Accent6 5 3 2 5" xfId="4031" xr:uid="{5947A907-9C75-4A23-B246-9AD43A4C5EB1}"/>
    <cellStyle name="40% - Accent6 5 3 2 5 2" xfId="8190" xr:uid="{A0BC2A33-1183-47BD-B499-978F5B225D45}"/>
    <cellStyle name="40% - Accent6 5 3 2 6" xfId="4861" xr:uid="{D3D41CE1-57D8-4480-ABB9-844FCBB2AC0F}"/>
    <cellStyle name="40% - Accent6 5 3 2 7" xfId="9037" xr:uid="{3006C488-49F0-4DA8-8DF1-38105C402B6B}"/>
    <cellStyle name="40% - Accent6 5 3 3" xfId="1138" xr:uid="{E07700DE-461D-4C85-A6A0-918E3AE37E8C}"/>
    <cellStyle name="40% - Accent6 5 3 3 2" xfId="5270" xr:uid="{644B3047-C4CA-49E6-B8BB-6BE14526662B}"/>
    <cellStyle name="40% - Accent6 5 3 4" xfId="1966" xr:uid="{3C360516-B3EF-4359-ADE9-24AFA05BF128}"/>
    <cellStyle name="40% - Accent6 5 3 4 2" xfId="6097" xr:uid="{CF1B1FD7-2DEF-49F3-BFCA-2F702ED5E75C}"/>
    <cellStyle name="40% - Accent6 5 3 5" xfId="2790" xr:uid="{417A3D32-25D5-486D-84C3-2839CD2A301F}"/>
    <cellStyle name="40% - Accent6 5 3 5 2" xfId="6921" xr:uid="{A2289C13-07E6-4848-A22C-B88E0C06AF4C}"/>
    <cellStyle name="40% - Accent6 5 3 6" xfId="3614" xr:uid="{D8DE4859-0B9E-4B41-A4CA-5E500174C8A6}"/>
    <cellStyle name="40% - Accent6 5 3 6 2" xfId="7773" xr:uid="{2A56826C-787A-4DBE-911B-9296F7190F26}"/>
    <cellStyle name="40% - Accent6 5 3 7" xfId="4444" xr:uid="{CC034F09-DC06-4DCF-9DF3-513C15540033}"/>
    <cellStyle name="40% - Accent6 5 3 8" xfId="8620" xr:uid="{EDA3BFE8-DB35-4DBE-B812-CB7ED00A10CB}"/>
    <cellStyle name="40% - Accent6 5 4" xfId="521" xr:uid="{00000000-0005-0000-0000-0000E7020000}"/>
    <cellStyle name="40% - Accent6 5 4 2" xfId="1347" xr:uid="{A17B55CF-925F-404E-84B4-8CEE363FDE0B}"/>
    <cellStyle name="40% - Accent6 5 4 2 2" xfId="5479" xr:uid="{E7BED301-C494-4704-8669-63A0D1636099}"/>
    <cellStyle name="40% - Accent6 5 4 3" xfId="2175" xr:uid="{D420064C-E8CF-4A70-B309-560950041FCA}"/>
    <cellStyle name="40% - Accent6 5 4 3 2" xfId="6306" xr:uid="{001706AE-C7D4-4124-A4BF-696CE3814A73}"/>
    <cellStyle name="40% - Accent6 5 4 4" xfId="2999" xr:uid="{2ECB82F6-76B9-4420-BD8F-494A10948405}"/>
    <cellStyle name="40% - Accent6 5 4 4 2" xfId="7130" xr:uid="{216D34F8-C1F0-4A00-8C9D-F11DF220887D}"/>
    <cellStyle name="40% - Accent6 5 4 5" xfId="3823" xr:uid="{08FEEA55-70A2-4400-8182-C24E97C9E330}"/>
    <cellStyle name="40% - Accent6 5 4 5 2" xfId="7982" xr:uid="{193E16EE-52EB-4F2E-A3F9-480A332AA83F}"/>
    <cellStyle name="40% - Accent6 5 4 6" xfId="4653" xr:uid="{C477B255-E3A0-4BA3-8ACC-B7CBE88C634D}"/>
    <cellStyle name="40% - Accent6 5 4 7" xfId="8829" xr:uid="{28AC2872-A5C3-4B5D-BE4F-FEE72A994515}"/>
    <cellStyle name="40% - Accent6 5 5" xfId="928" xr:uid="{90A9DD56-5DA2-412A-BE6B-067A635E0E5E}"/>
    <cellStyle name="40% - Accent6 5 5 2" xfId="5060" xr:uid="{5676299F-6465-4DDA-BD4E-AB35603AA1A8}"/>
    <cellStyle name="40% - Accent6 5 6" xfId="1756" xr:uid="{6A8C7FC8-43DF-4D41-BE51-3C9C3047AC1F}"/>
    <cellStyle name="40% - Accent6 5 6 2" xfId="5887" xr:uid="{CCA0BC17-1E4E-4860-A271-31B631FA12A3}"/>
    <cellStyle name="40% - Accent6 5 7" xfId="2580" xr:uid="{066F6EF7-99F3-458A-B867-191A9B93E008}"/>
    <cellStyle name="40% - Accent6 5 7 2" xfId="6711" xr:uid="{A52F5D4D-4E40-45BF-908A-B7CC14FCD473}"/>
    <cellStyle name="40% - Accent6 5 8" xfId="3404" xr:uid="{27E3BB4A-34FF-4394-9EEE-0C8291F9C075}"/>
    <cellStyle name="40% - Accent6 5 8 2" xfId="7563" xr:uid="{0E0FEE5A-8D36-45E8-AB8E-E2DEC6385DD7}"/>
    <cellStyle name="40% - Accent6 5 9" xfId="4234" xr:uid="{A5E691A8-2E22-4D60-8C2F-2F16891FF0E4}"/>
    <cellStyle name="40% - Accent6 6" xfId="142" xr:uid="{00000000-0005-0000-0000-0000E8020000}"/>
    <cellStyle name="40% - Accent6 6 2" xfId="352" xr:uid="{00000000-0005-0000-0000-0000E9020000}"/>
    <cellStyle name="40% - Accent6 6 2 2" xfId="769" xr:uid="{00000000-0005-0000-0000-0000EA020000}"/>
    <cellStyle name="40% - Accent6 6 2 2 2" xfId="1595" xr:uid="{4D164DAE-182A-4993-891A-D291F6BA1045}"/>
    <cellStyle name="40% - Accent6 6 2 2 2 2" xfId="5727" xr:uid="{5C8068B9-07F2-41E4-A383-1671DDBE32BE}"/>
    <cellStyle name="40% - Accent6 6 2 2 3" xfId="2423" xr:uid="{B7039CFC-196F-41FF-9F50-4DA0046B82EB}"/>
    <cellStyle name="40% - Accent6 6 2 2 3 2" xfId="6554" xr:uid="{06179DD9-10B9-4306-8C64-24F7764C3B2B}"/>
    <cellStyle name="40% - Accent6 6 2 2 4" xfId="3247" xr:uid="{BA25AB1F-F4DF-47AA-B53D-C2B2C25EAE24}"/>
    <cellStyle name="40% - Accent6 6 2 2 4 2" xfId="7378" xr:uid="{B5DC3FE4-7E7C-4348-9E9B-97BEE4668327}"/>
    <cellStyle name="40% - Accent6 6 2 2 5" xfId="4071" xr:uid="{8CA41FE1-2471-4CDF-9CB4-D05611FC91B0}"/>
    <cellStyle name="40% - Accent6 6 2 2 5 2" xfId="8230" xr:uid="{B12AED74-AE2D-4826-89FA-432A00FDE4A8}"/>
    <cellStyle name="40% - Accent6 6 2 2 6" xfId="4901" xr:uid="{EDB5DF11-19AF-49A9-8162-DBE5D4F811B2}"/>
    <cellStyle name="40% - Accent6 6 2 2 7" xfId="9077" xr:uid="{927681EF-AF8C-4A63-9226-96487EEDAA2B}"/>
    <cellStyle name="40% - Accent6 6 2 3" xfId="1178" xr:uid="{CB8037D5-8AB4-4A7F-B32D-5BF15328697F}"/>
    <cellStyle name="40% - Accent6 6 2 3 2" xfId="5310" xr:uid="{12A30C2A-C28E-4560-930C-878B0F49D7C5}"/>
    <cellStyle name="40% - Accent6 6 2 4" xfId="2006" xr:uid="{75846A29-6ABB-49E0-A952-28D3CB58894C}"/>
    <cellStyle name="40% - Accent6 6 2 4 2" xfId="6137" xr:uid="{F7E40174-1E7D-4BFD-9D3C-5B9E2A26679F}"/>
    <cellStyle name="40% - Accent6 6 2 5" xfId="2830" xr:uid="{C88B8EBF-4A96-4D87-8BBD-A4A7397A42F8}"/>
    <cellStyle name="40% - Accent6 6 2 5 2" xfId="6961" xr:uid="{53322116-15F3-4D40-A6F8-F4436858B1A3}"/>
    <cellStyle name="40% - Accent6 6 2 6" xfId="3654" xr:uid="{F3229AF9-5319-464F-AA16-FF0445C6F9D2}"/>
    <cellStyle name="40% - Accent6 6 2 6 2" xfId="7813" xr:uid="{F5CB538E-7001-4FD0-952D-33996239043B}"/>
    <cellStyle name="40% - Accent6 6 2 7" xfId="4484" xr:uid="{AE75C343-1C71-4061-9C51-0A74002DFFC7}"/>
    <cellStyle name="40% - Accent6 6 2 8" xfId="8660" xr:uid="{346B96DE-5662-4676-A64A-6A0710644F2D}"/>
    <cellStyle name="40% - Accent6 6 3" xfId="561" xr:uid="{00000000-0005-0000-0000-0000EB020000}"/>
    <cellStyle name="40% - Accent6 6 3 2" xfId="1387" xr:uid="{68D26775-A98A-4E59-883A-6BC871E8C008}"/>
    <cellStyle name="40% - Accent6 6 3 2 2" xfId="5519" xr:uid="{6E94C0AF-618F-413B-8175-9CC73B2DE50A}"/>
    <cellStyle name="40% - Accent6 6 3 3" xfId="2215" xr:uid="{DBB124F3-CF8A-4FC9-B7CA-C783BCD7A87C}"/>
    <cellStyle name="40% - Accent6 6 3 3 2" xfId="6346" xr:uid="{B798196A-CB2A-4286-A3D5-6E9448E6F2E3}"/>
    <cellStyle name="40% - Accent6 6 3 4" xfId="3039" xr:uid="{3E1BE5F3-2CCA-4F78-A1BB-58ADB8059A50}"/>
    <cellStyle name="40% - Accent6 6 3 4 2" xfId="7170" xr:uid="{5003A7AB-BCF1-4AFB-8CDE-AB2C4730FE68}"/>
    <cellStyle name="40% - Accent6 6 3 5" xfId="3863" xr:uid="{B574DB3F-EAF2-4F33-93C4-FC5107B1F106}"/>
    <cellStyle name="40% - Accent6 6 3 5 2" xfId="8022" xr:uid="{40DBDEDC-E26F-4AED-9833-DAC2571F41B4}"/>
    <cellStyle name="40% - Accent6 6 3 6" xfId="4693" xr:uid="{9E5F6179-BE62-4F7F-87AF-6012B0D5FA4A}"/>
    <cellStyle name="40% - Accent6 6 3 7" xfId="8869" xr:uid="{E5EEC947-0EB1-48C0-A1D5-92F4D3C03AD2}"/>
    <cellStyle name="40% - Accent6 6 4" xfId="968" xr:uid="{74F75D1D-B401-4690-A6B9-EB54A92BA387}"/>
    <cellStyle name="40% - Accent6 6 4 2" xfId="5100" xr:uid="{D2314802-C46F-42DF-86D9-FE732C2A2133}"/>
    <cellStyle name="40% - Accent6 6 5" xfId="1796" xr:uid="{2C3BCB04-560E-4839-9D34-340E375E7437}"/>
    <cellStyle name="40% - Accent6 6 5 2" xfId="5927" xr:uid="{0CEFFCE1-20ED-487D-B65D-DFAEA0A33404}"/>
    <cellStyle name="40% - Accent6 6 6" xfId="2620" xr:uid="{728C2A36-D33A-46EA-975C-78512A7E96F6}"/>
    <cellStyle name="40% - Accent6 6 6 2" xfId="6751" xr:uid="{8B4D527F-B9E5-43EB-8C82-EB0089588CB1}"/>
    <cellStyle name="40% - Accent6 6 7" xfId="3444" xr:uid="{9001B95E-8BEA-442E-9A83-F1F7002DDC7A}"/>
    <cellStyle name="40% - Accent6 6 7 2" xfId="7603" xr:uid="{7B19B5C6-E9DF-4E0A-B604-7A0C8EBEFA61}"/>
    <cellStyle name="40% - Accent6 6 8" xfId="4274" xr:uid="{21282A54-BF81-4259-AFCB-EEF97958E268}"/>
    <cellStyle name="40% - Accent6 6 9" xfId="8450" xr:uid="{1E836E35-5A38-4686-A8A4-4F718279AD5D}"/>
    <cellStyle name="40% - Accent6 7" xfId="155" xr:uid="{00000000-0005-0000-0000-0000EC020000}"/>
    <cellStyle name="40% - Accent6 7 2" xfId="364" xr:uid="{00000000-0005-0000-0000-0000ED020000}"/>
    <cellStyle name="40% - Accent6 7 2 2" xfId="781" xr:uid="{00000000-0005-0000-0000-0000EE020000}"/>
    <cellStyle name="40% - Accent6 7 2 2 2" xfId="1607" xr:uid="{C8EA46E1-B894-4565-BE05-07D214A29BE9}"/>
    <cellStyle name="40% - Accent6 7 2 2 2 2" xfId="5739" xr:uid="{D10D9A83-E666-4C27-8EB7-17B16182D458}"/>
    <cellStyle name="40% - Accent6 7 2 2 3" xfId="2435" xr:uid="{08EBE6AA-9AB2-4C49-BECE-8C0D02723400}"/>
    <cellStyle name="40% - Accent6 7 2 2 3 2" xfId="6566" xr:uid="{4F34FDE7-27E2-492B-A79A-A95BDE76AE70}"/>
    <cellStyle name="40% - Accent6 7 2 2 4" xfId="3259" xr:uid="{7B215DB6-A0A7-41BC-A14D-F133A918AF68}"/>
    <cellStyle name="40% - Accent6 7 2 2 4 2" xfId="7390" xr:uid="{57E6C2C2-4FDB-494F-A430-B1EFAD3E2309}"/>
    <cellStyle name="40% - Accent6 7 2 2 5" xfId="4083" xr:uid="{AFC263BB-0E52-4FCF-8E04-B79F37A11C15}"/>
    <cellStyle name="40% - Accent6 7 2 2 5 2" xfId="8242" xr:uid="{6167CB73-0402-44D7-B24E-07F2C3B786F9}"/>
    <cellStyle name="40% - Accent6 7 2 2 6" xfId="4913" xr:uid="{EF795434-22EF-45AC-AE38-BAFA6BC266C1}"/>
    <cellStyle name="40% - Accent6 7 2 2 7" xfId="9089" xr:uid="{FB178E43-51F6-47DE-912C-899770A3FFDE}"/>
    <cellStyle name="40% - Accent6 7 2 3" xfId="1190" xr:uid="{9A80E1FF-B22A-46E1-B666-2E9EE91E2192}"/>
    <cellStyle name="40% - Accent6 7 2 3 2" xfId="5322" xr:uid="{FC069589-6C1E-4EBE-9EB9-D7DC79FCB0F6}"/>
    <cellStyle name="40% - Accent6 7 2 4" xfId="2018" xr:uid="{7A99758E-7ACF-4468-B8DD-C5D6421108F6}"/>
    <cellStyle name="40% - Accent6 7 2 4 2" xfId="6149" xr:uid="{EDAF1886-FF0E-4A19-8DAA-C1DB9D0FE400}"/>
    <cellStyle name="40% - Accent6 7 2 5" xfId="2842" xr:uid="{9B349AD3-3133-4382-9389-077EB37B7338}"/>
    <cellStyle name="40% - Accent6 7 2 5 2" xfId="6973" xr:uid="{42F5DDF8-6416-4AF1-86BD-F339F27444B5}"/>
    <cellStyle name="40% - Accent6 7 2 6" xfId="3666" xr:uid="{D28F0AF9-86E9-4DB6-9910-00770BABE9F0}"/>
    <cellStyle name="40% - Accent6 7 2 6 2" xfId="7825" xr:uid="{A59143DF-C884-43EC-A2E7-9F6B4A240B08}"/>
    <cellStyle name="40% - Accent6 7 2 7" xfId="4496" xr:uid="{521B2F48-6B37-40F4-A7E5-5DDB47484A73}"/>
    <cellStyle name="40% - Accent6 7 2 8" xfId="8672" xr:uid="{8037C790-8BBC-4632-A6DD-F4D5FA252B5A}"/>
    <cellStyle name="40% - Accent6 7 3" xfId="573" xr:uid="{00000000-0005-0000-0000-0000EF020000}"/>
    <cellStyle name="40% - Accent6 7 3 2" xfId="1399" xr:uid="{BF27BDF0-E16C-417F-B6FE-F67E2FF3E4E3}"/>
    <cellStyle name="40% - Accent6 7 3 2 2" xfId="5531" xr:uid="{A8C80882-EAAE-4C35-AA80-D932466E2398}"/>
    <cellStyle name="40% - Accent6 7 3 3" xfId="2227" xr:uid="{AE83CCB0-10EB-458B-901C-FACCEEF051E4}"/>
    <cellStyle name="40% - Accent6 7 3 3 2" xfId="6358" xr:uid="{0A726FF6-3107-416E-ADB0-D250DF07997E}"/>
    <cellStyle name="40% - Accent6 7 3 4" xfId="3051" xr:uid="{273259ED-DD0E-43DA-81D7-1A1BEDC09DE8}"/>
    <cellStyle name="40% - Accent6 7 3 4 2" xfId="7182" xr:uid="{0D8B18BC-C151-4D36-ACC2-481FCF8A7DE7}"/>
    <cellStyle name="40% - Accent6 7 3 5" xfId="3875" xr:uid="{90F4D037-237A-4B73-9EA9-18BCCBA5A530}"/>
    <cellStyle name="40% - Accent6 7 3 5 2" xfId="8034" xr:uid="{9C4DE095-9987-4D65-A215-CDA7098841ED}"/>
    <cellStyle name="40% - Accent6 7 3 6" xfId="4705" xr:uid="{2E74FDD0-BC65-4262-B780-03463417C468}"/>
    <cellStyle name="40% - Accent6 7 3 7" xfId="8881" xr:uid="{AD844754-59D2-4BB4-B78F-D1853277C020}"/>
    <cellStyle name="40% - Accent6 7 4" xfId="981" xr:uid="{58BD153A-2E84-479F-9DCE-99F397870592}"/>
    <cellStyle name="40% - Accent6 7 4 2" xfId="5113" xr:uid="{16317709-42F3-4829-AFE1-0715E23F150D}"/>
    <cellStyle name="40% - Accent6 7 5" xfId="1809" xr:uid="{7CFCBC03-A6EC-43AD-91D3-EC9F7A9D5FF6}"/>
    <cellStyle name="40% - Accent6 7 5 2" xfId="5940" xr:uid="{6FC84C71-BF15-45A6-9C96-C573697ACB65}"/>
    <cellStyle name="40% - Accent6 7 6" xfId="2633" xr:uid="{21C1E848-F787-410F-B458-734AF01FDD26}"/>
    <cellStyle name="40% - Accent6 7 6 2" xfId="6764" xr:uid="{B53F453C-5356-48B6-9F87-3BB272E85C94}"/>
    <cellStyle name="40% - Accent6 7 7" xfId="3457" xr:uid="{23C62EC0-A19F-4F29-9CB7-36D25E768FA9}"/>
    <cellStyle name="40% - Accent6 7 7 2" xfId="7616" xr:uid="{CB585BA0-3B6F-4F04-BBAC-B7BE929696F8}"/>
    <cellStyle name="40% - Accent6 7 8" xfId="4287" xr:uid="{3B7A3281-B26A-4037-912A-09F36D12CDFA}"/>
    <cellStyle name="40% - Accent6 7 9" xfId="8463" xr:uid="{E6D35548-990E-47CB-BB60-71EDABF8D503}"/>
    <cellStyle name="40% - Accent6 8" xfId="247" xr:uid="{00000000-0005-0000-0000-0000F0020000}"/>
    <cellStyle name="40% - Accent6 8 2" xfId="665" xr:uid="{00000000-0005-0000-0000-0000F1020000}"/>
    <cellStyle name="40% - Accent6 8 2 2" xfId="1491" xr:uid="{C4D6AE5E-FD69-4FD8-9649-D03611080C5D}"/>
    <cellStyle name="40% - Accent6 8 2 2 2" xfId="5623" xr:uid="{E2C5CF1B-73AD-48B1-AC81-BC0D81E62F1D}"/>
    <cellStyle name="40% - Accent6 8 2 3" xfId="2319" xr:uid="{D6858718-94C8-427A-A1D4-086321B12DB5}"/>
    <cellStyle name="40% - Accent6 8 2 3 2" xfId="6450" xr:uid="{47849F27-8B77-4B0B-877E-47D404636D83}"/>
    <cellStyle name="40% - Accent6 8 2 4" xfId="3143" xr:uid="{E4C1A9B2-083C-4EB6-9B15-3FC2E562D4AC}"/>
    <cellStyle name="40% - Accent6 8 2 4 2" xfId="7274" xr:uid="{3DEEB257-2E8B-4C9C-8C3A-8BBDD4835022}"/>
    <cellStyle name="40% - Accent6 8 2 5" xfId="3967" xr:uid="{10E28938-4C9B-40D8-8850-7A8A76881006}"/>
    <cellStyle name="40% - Accent6 8 2 5 2" xfId="8126" xr:uid="{55E45C24-8B65-492F-A996-FD6CB55BB893}"/>
    <cellStyle name="40% - Accent6 8 2 6" xfId="4797" xr:uid="{916DD460-3DEB-43F8-A170-6D9F7C366469}"/>
    <cellStyle name="40% - Accent6 8 2 7" xfId="8973" xr:uid="{A54CEE1A-D8FD-4869-9818-7AAB563EC7FC}"/>
    <cellStyle name="40% - Accent6 8 3" xfId="1073" xr:uid="{E00AE3EE-9F02-48F7-AE6A-1906C4D1F838}"/>
    <cellStyle name="40% - Accent6 8 3 2" xfId="5205" xr:uid="{F847DFF3-F400-486D-938F-933FBE6E7133}"/>
    <cellStyle name="40% - Accent6 8 4" xfId="1901" xr:uid="{F82B5097-DF5D-4F7B-8D77-F08EC4DC60BF}"/>
    <cellStyle name="40% - Accent6 8 4 2" xfId="6032" xr:uid="{833A818F-6711-479D-AD41-C18475901239}"/>
    <cellStyle name="40% - Accent6 8 5" xfId="2725" xr:uid="{C3AC791A-137C-4484-930D-CB4BF755AD6C}"/>
    <cellStyle name="40% - Accent6 8 5 2" xfId="6856" xr:uid="{EF4B9D78-CC42-4828-BDD3-3C235A432A68}"/>
    <cellStyle name="40% - Accent6 8 6" xfId="3549" xr:uid="{C18EC319-4CC6-4AB6-BC84-EDD2C21D3CB8}"/>
    <cellStyle name="40% - Accent6 8 6 2" xfId="7708" xr:uid="{3D0342D1-5232-4C6B-94F3-6DDDDF19FE45}"/>
    <cellStyle name="40% - Accent6 8 7" xfId="4379" xr:uid="{AAA8576F-789F-4A29-A055-2167369EF6C6}"/>
    <cellStyle name="40% - Accent6 8 8" xfId="8555" xr:uid="{EDC05B08-3A77-4C1B-813A-23D0A573B10F}"/>
    <cellStyle name="40% - Accent6 9" xfId="260" xr:uid="{00000000-0005-0000-0000-0000F2020000}"/>
    <cellStyle name="40% - Accent6 9 2" xfId="677" xr:uid="{00000000-0005-0000-0000-0000F3020000}"/>
    <cellStyle name="40% - Accent6 9 2 2" xfId="1503" xr:uid="{DE976426-D2D8-4C68-B2FE-588832B66805}"/>
    <cellStyle name="40% - Accent6 9 2 2 2" xfId="5635" xr:uid="{34E16D75-921F-4379-9F9A-5C3683FF9639}"/>
    <cellStyle name="40% - Accent6 9 2 3" xfId="2331" xr:uid="{AF52E752-8720-4181-85F3-7D9F0383D356}"/>
    <cellStyle name="40% - Accent6 9 2 3 2" xfId="6462" xr:uid="{260E1512-A7FA-42E7-BEEF-E460EE053A7D}"/>
    <cellStyle name="40% - Accent6 9 2 4" xfId="3155" xr:uid="{4F9F5A81-008A-48F5-B50A-68E082B42B3E}"/>
    <cellStyle name="40% - Accent6 9 2 4 2" xfId="7286" xr:uid="{2D008E04-02F4-4E2E-95D0-3AC519D156FB}"/>
    <cellStyle name="40% - Accent6 9 2 5" xfId="3979" xr:uid="{B4AE5DA7-C0D5-417A-A95F-0BB54E5E1852}"/>
    <cellStyle name="40% - Accent6 9 2 5 2" xfId="8138" xr:uid="{618CC54F-1F9D-4200-84B4-DC10D99A10F3}"/>
    <cellStyle name="40% - Accent6 9 2 6" xfId="4809" xr:uid="{E5279C6D-8776-4D66-9D69-170E4F912688}"/>
    <cellStyle name="40% - Accent6 9 2 7" xfId="8985" xr:uid="{151C002B-565A-44FE-872C-82FA694279B1}"/>
    <cellStyle name="40% - Accent6 9 3" xfId="1086" xr:uid="{D3E577FD-0EEE-479F-84CC-4A2B4FA4F695}"/>
    <cellStyle name="40% - Accent6 9 3 2" xfId="5218" xr:uid="{7C0C70F6-FF55-46F9-A383-C7A0A2A0B2A9}"/>
    <cellStyle name="40% - Accent6 9 4" xfId="1914" xr:uid="{DE40396D-4C2B-40FB-9687-AEEB599C3103}"/>
    <cellStyle name="40% - Accent6 9 4 2" xfId="6045" xr:uid="{502A9D4E-C6F5-4B0C-A865-333525EEB986}"/>
    <cellStyle name="40% - Accent6 9 5" xfId="2738" xr:uid="{F5AB1F50-4033-49CB-956D-3E0DAA8758C5}"/>
    <cellStyle name="40% - Accent6 9 5 2" xfId="6869" xr:uid="{D5288BB9-BBA4-4E26-875E-B93549878924}"/>
    <cellStyle name="40% - Accent6 9 6" xfId="3562" xr:uid="{1BC5D635-B5BF-4C45-B55A-A9B7A6374733}"/>
    <cellStyle name="40% - Accent6 9 6 2" xfId="7721" xr:uid="{B83BA272-9A35-47B1-96C7-FDE823ADD6E6}"/>
    <cellStyle name="40% - Accent6 9 7" xfId="4392" xr:uid="{9E9F87AE-0356-4F29-92E8-AB2322BB45FD}"/>
    <cellStyle name="40% - Accent6 9 8" xfId="8568" xr:uid="{5D9FA54E-E31E-4641-B10E-23E5222ED363}"/>
    <cellStyle name="60% - Accent1 2" xfId="43" xr:uid="{00000000-0005-0000-0000-00001C030000}"/>
    <cellStyle name="60% - Accent2 2" xfId="44" xr:uid="{00000000-0005-0000-0000-00001D030000}"/>
    <cellStyle name="60% - Accent3 2" xfId="45" xr:uid="{00000000-0005-0000-0000-00001E030000}"/>
    <cellStyle name="60% - Accent4 2" xfId="46" xr:uid="{00000000-0005-0000-0000-00001F030000}"/>
    <cellStyle name="60% - Accent5 2" xfId="47" xr:uid="{00000000-0005-0000-0000-000020030000}"/>
    <cellStyle name="60% - Accent6 2" xfId="48" xr:uid="{00000000-0005-0000-0000-000021030000}"/>
    <cellStyle name="Accent1" xfId="22" builtinId="29" customBuiltin="1"/>
    <cellStyle name="Accent2" xfId="25" builtinId="33" customBuiltin="1"/>
    <cellStyle name="Accent3" xfId="28" builtinId="37" customBuiltin="1"/>
    <cellStyle name="Accent4" xfId="31" builtinId="41" customBuiltin="1"/>
    <cellStyle name="Accent5" xfId="34" builtinId="45" customBuiltin="1"/>
    <cellStyle name="Accent6" xfId="37" builtinId="49" customBuiltin="1"/>
    <cellStyle name="Bad" xfId="13" builtinId="27" customBuiltin="1"/>
    <cellStyle name="Calculation" xfId="16" builtinId="22" customBuiltin="1"/>
    <cellStyle name="Check Cell" xfId="18" builtinId="23" customBuiltin="1"/>
    <cellStyle name="Comma" xfId="1" builtinId="3"/>
    <cellStyle name="Comma 2" xfId="861" xr:uid="{ECED23C2-B97D-4B06-AFB8-FAA9A603272B}"/>
    <cellStyle name="Comma 2 2" xfId="4993" xr:uid="{1A43B23F-4FF3-4957-8695-6701111C528D}"/>
    <cellStyle name="Comma 3" xfId="4167" xr:uid="{3680D0EC-9F09-4418-8220-FD06FF4E6D9F}"/>
    <cellStyle name="Comma_ASSESSMENT MARK TESTING 2#" xfId="2" xr:uid="{00000000-0005-0000-0000-000001000000}"/>
    <cellStyle name="Currency" xfId="3" builtinId="4"/>
    <cellStyle name="Currency 10" xfId="1691" xr:uid="{E5885195-FF12-4FE2-8BE5-7A0DB23C9CE8}"/>
    <cellStyle name="Currency 10 2" xfId="5822" xr:uid="{887E51A7-F824-451D-9506-0F689E0EED7E}"/>
    <cellStyle name="Currency 11" xfId="2515" xr:uid="{B80642BF-6345-49A7-AA79-56E133C96530}"/>
    <cellStyle name="Currency 11 2" xfId="6646" xr:uid="{953E08A9-8C31-4F87-B577-4AFA5AA8DDFE}"/>
    <cellStyle name="Currency 12" xfId="3339" xr:uid="{6BF02194-6BA5-4A6C-A8BE-1D100927C6FD}"/>
    <cellStyle name="Currency 12 2" xfId="7471" xr:uid="{E3C7DDD4-8CDE-4564-8BC1-B3CC0154D3A3}"/>
    <cellStyle name="Currency 13" xfId="7475" xr:uid="{680BE6EF-7968-4FBC-BE9D-85383473177D}"/>
    <cellStyle name="Currency 14" xfId="7478" xr:uid="{4C497182-163C-4EFF-9FDF-FF4E0119B686}"/>
    <cellStyle name="Currency 15" xfId="7481" xr:uid="{5D58A061-B687-42B0-8F60-488216023E62}"/>
    <cellStyle name="Currency 16" xfId="7484" xr:uid="{0E80EC74-981C-4B0C-8659-84E4387B2430}"/>
    <cellStyle name="Currency 17" xfId="7487" xr:uid="{20992213-737D-47A1-9491-C74B0FCC593B}"/>
    <cellStyle name="Currency 18" xfId="7490" xr:uid="{CD82B4D3-81AB-4051-B481-7EA8445F31C2}"/>
    <cellStyle name="Currency 19" xfId="7494" xr:uid="{D886BD10-8E99-41BF-99D1-E36A5F28207D}"/>
    <cellStyle name="Currency 2" xfId="90" xr:uid="{00000000-0005-0000-0000-000004030000}"/>
    <cellStyle name="Currency 2 2" xfId="916" xr:uid="{463B1CB0-65DE-4C5E-8108-6197891A502D}"/>
    <cellStyle name="Currency 2 2 2" xfId="5048" xr:uid="{2C0E5C28-7E11-4AE9-A70E-3CC386B9A152}"/>
    <cellStyle name="Currency 2 3" xfId="1744" xr:uid="{2705002D-DDBB-46D3-B747-26904F3E48A1}"/>
    <cellStyle name="Currency 2 3 2" xfId="5875" xr:uid="{E87E0A2B-B49F-4F38-AA0D-8787F0893DE2}"/>
    <cellStyle name="Currency 2 4" xfId="2568" xr:uid="{27896A27-47E9-4F23-BDC1-7B08F14018A1}"/>
    <cellStyle name="Currency 2 4 2" xfId="6699" xr:uid="{42E7ADA8-2ACA-44DB-A790-DB8D2D07F8D1}"/>
    <cellStyle name="Currency 2 5" xfId="3392" xr:uid="{A8F40B3B-FD31-4884-BD47-42C4AFCA8DE1}"/>
    <cellStyle name="Currency 2 5 2" xfId="7551" xr:uid="{5B0E3BF5-08DB-4854-8CE0-C03686DFAE16}"/>
    <cellStyle name="Currency 2 6" xfId="4222" xr:uid="{9EE156BE-F381-469A-B998-F1904FF68E00}"/>
    <cellStyle name="Currency 2 7" xfId="8398" xr:uid="{E9752E45-56F6-440C-BFAA-8ACBEDA833DE}"/>
    <cellStyle name="Currency 20" xfId="7497" xr:uid="{635E0F86-8770-4B1F-B445-80FFE05FD80C}"/>
    <cellStyle name="Currency 21" xfId="4168" xr:uid="{D81E5736-7759-4B1D-B9F8-1F9464C95ED6}"/>
    <cellStyle name="Currency 22" xfId="8325" xr:uid="{B9ED2862-9D93-4313-8B47-985608C07150}"/>
    <cellStyle name="Currency 23" xfId="8330" xr:uid="{5E9F7E3D-36D9-4823-98A5-A328A4912B82}"/>
    <cellStyle name="Currency 24" xfId="8334" xr:uid="{0CE79BA7-E34F-4268-8A4D-6EBD4FA6A24E}"/>
    <cellStyle name="Currency 25" xfId="8338" xr:uid="{2452D4A2-4CE6-48DB-B814-2EBF0E02055B}"/>
    <cellStyle name="Currency 26" xfId="8342" xr:uid="{30C89438-32E7-4270-B96B-69D0C841CDEF}"/>
    <cellStyle name="Currency 27" xfId="8345" xr:uid="{000A0A5F-BEF3-4DBD-86F3-01C87B44804F}"/>
    <cellStyle name="Currency 3" xfId="143" xr:uid="{00000000-0005-0000-0000-000005030000}"/>
    <cellStyle name="Currency 3 2" xfId="969" xr:uid="{C43EC7D6-D6A6-4898-AB4C-DCB2BABC875C}"/>
    <cellStyle name="Currency 3 2 2" xfId="5101" xr:uid="{00FDA9E2-DA38-4B3A-80BC-45408DB8751C}"/>
    <cellStyle name="Currency 3 3" xfId="1797" xr:uid="{78D0787C-04CB-4AE1-8C4D-877EE1240EC6}"/>
    <cellStyle name="Currency 3 3 2" xfId="5928" xr:uid="{0F66EA39-042F-4A9B-8D1E-FA4388A96F88}"/>
    <cellStyle name="Currency 3 4" xfId="2621" xr:uid="{E3A85B22-D1BE-48B1-B1A9-344DC08E758F}"/>
    <cellStyle name="Currency 3 4 2" xfId="6752" xr:uid="{92D150FD-0307-47B5-A958-5B33BB051748}"/>
    <cellStyle name="Currency 3 5" xfId="3445" xr:uid="{699E61F3-C3F1-40C6-83F6-1B7028411EBA}"/>
    <cellStyle name="Currency 3 5 2" xfId="7604" xr:uid="{59F35957-199C-41E7-B21C-FB70D3D4E638}"/>
    <cellStyle name="Currency 3 6" xfId="4275" xr:uid="{B96598CF-FC31-4389-9AEF-5963634BF663}"/>
    <cellStyle name="Currency 3 7" xfId="8451" xr:uid="{A4FF4711-C902-4B05-BE9E-F346C7347465}"/>
    <cellStyle name="Currency 4" xfId="248" xr:uid="{00000000-0005-0000-0000-000006030000}"/>
    <cellStyle name="Currency 4 2" xfId="1074" xr:uid="{A8E1C656-8799-41F3-9359-F87971E9D7BF}"/>
    <cellStyle name="Currency 4 2 2" xfId="5206" xr:uid="{F922A376-E905-4D5A-83FD-2FEF192A5593}"/>
    <cellStyle name="Currency 4 3" xfId="1902" xr:uid="{2536398C-600F-4740-BBE8-21115838BFC3}"/>
    <cellStyle name="Currency 4 3 2" xfId="6033" xr:uid="{B93028D4-148E-4020-B6A3-CF165C6C16C5}"/>
    <cellStyle name="Currency 4 4" xfId="2726" xr:uid="{2B67189B-DF09-4016-B547-6B6D7CB5EDFB}"/>
    <cellStyle name="Currency 4 4 2" xfId="6857" xr:uid="{7592ABA1-83D3-47C0-8B49-DF1FD1BE017B}"/>
    <cellStyle name="Currency 4 5" xfId="3550" xr:uid="{FF49F6DC-17BE-4CA5-A791-3CB0BD857708}"/>
    <cellStyle name="Currency 4 5 2" xfId="7709" xr:uid="{CCDFC321-D770-4FC8-921E-23F98032262F}"/>
    <cellStyle name="Currency 4 6" xfId="4380" xr:uid="{A1C9FD93-576A-4325-8B3C-57719E6EB3CF}"/>
    <cellStyle name="Currency 4 7" xfId="8556" xr:uid="{31656FB9-5813-43EF-8A71-42AB0AF25F4A}"/>
    <cellStyle name="Currency 5" xfId="457" xr:uid="{00000000-0005-0000-0000-000007030000}"/>
    <cellStyle name="Currency 5 2" xfId="1283" xr:uid="{82F7E9C7-8F50-47CA-B4EF-068E0EDC953C}"/>
    <cellStyle name="Currency 5 2 2" xfId="5415" xr:uid="{E11741C4-E4D4-4028-A8E0-174B6433A25F}"/>
    <cellStyle name="Currency 5 3" xfId="2111" xr:uid="{733FED36-9581-419E-98A9-843379B0C463}"/>
    <cellStyle name="Currency 5 3 2" xfId="6242" xr:uid="{0A5D0DBD-54D9-4D7B-A544-3824C90175C2}"/>
    <cellStyle name="Currency 5 4" xfId="2935" xr:uid="{337B0087-DADD-4E80-8F05-77E3F502FD09}"/>
    <cellStyle name="Currency 5 4 2" xfId="7066" xr:uid="{E354C56C-4654-4E54-81C4-8B47AE322F31}"/>
    <cellStyle name="Currency 5 5" xfId="3759" xr:uid="{802D0E17-D138-44FC-AD0A-72406F2062A4}"/>
    <cellStyle name="Currency 5 5 2" xfId="7918" xr:uid="{F8DE861F-ACDC-4AB3-B311-D91D9B0FB8E2}"/>
    <cellStyle name="Currency 5 6" xfId="4589" xr:uid="{3E8F9470-A341-43A1-AFF2-4E27C153FC7B}"/>
    <cellStyle name="Currency 5 7" xfId="8765" xr:uid="{796CC0B4-6347-4739-BAA9-FC3318565D96}"/>
    <cellStyle name="Currency 6" xfId="40" xr:uid="{00000000-0005-0000-0000-000022030000}"/>
    <cellStyle name="Currency 6 2" xfId="875" xr:uid="{BF1BF254-01EC-4E2B-8FF0-B515E4C3A7C7}"/>
    <cellStyle name="Currency 6 2 2" xfId="5007" xr:uid="{2D444C75-18B5-4A80-AA06-FA73DDEB4BC9}"/>
    <cellStyle name="Currency 6 3" xfId="8322" xr:uid="{84F63677-704D-4412-8BA7-543F16BA1977}"/>
    <cellStyle name="Currency 6 4" xfId="4181" xr:uid="{5A867D1A-AB05-4777-97D3-31D1FD9BB9CD}"/>
    <cellStyle name="Currency 6 5" xfId="9169" xr:uid="{4729E36B-1227-42FD-9AB7-9A302801CDCF}"/>
    <cellStyle name="Currency 7" xfId="862" xr:uid="{2E7DC1A3-0F00-46FA-B967-3A7F9BA40EEA}"/>
    <cellStyle name="Currency 7 2" xfId="4994" xr:uid="{018D6F99-197B-4790-8883-186D5EFA27BF}"/>
    <cellStyle name="Currency 8" xfId="1687" xr:uid="{C2117AC9-E996-4D4E-8815-4C61A8C1D69E}"/>
    <cellStyle name="Currency 8 2" xfId="5819" xr:uid="{E97333F8-6AE3-48C4-80BC-15209BCFD382}"/>
    <cellStyle name="Currency 9" xfId="1689" xr:uid="{87300C85-6346-4EA7-BCD5-9FB389BBE089}"/>
    <cellStyle name="Currency 9 2" xfId="5820" xr:uid="{A6DF2660-973F-46F0-A928-C3102E391CE0}"/>
    <cellStyle name="Explanatory Text" xfId="20" builtinId="53" customBuiltin="1"/>
    <cellStyle name="Followed Hyperlink" xfId="1688" builtinId="9"/>
    <cellStyle name="Good" xfId="12" builtinId="26" customBuiltin="1"/>
    <cellStyle name="Heading 1" xfId="8" builtinId="16" customBuiltin="1"/>
    <cellStyle name="Heading 2" xfId="9" builtinId="17" customBuiltin="1"/>
    <cellStyle name="Heading 2 2" xfId="7498" xr:uid="{878D861F-8279-4E8B-BAC8-026327AF90FD}"/>
    <cellStyle name="Heading 3" xfId="10" builtinId="18" customBuiltin="1"/>
    <cellStyle name="Heading 4" xfId="11" builtinId="19" customBuiltin="1"/>
    <cellStyle name="Hyperlink" xfId="7" builtinId="8"/>
    <cellStyle name="Hyperlink 2" xfId="8326" xr:uid="{598D5321-0F06-4CD4-B02C-CA69590AE452}"/>
    <cellStyle name="Input" xfId="14" builtinId="20" customBuiltin="1"/>
    <cellStyle name="Linked Cell" xfId="17" builtinId="24" customBuiltin="1"/>
    <cellStyle name="Neutral" xfId="8323" builtinId="28"/>
    <cellStyle name="Neutral 2" xfId="42" xr:uid="{00000000-0005-0000-0000-000027030000}"/>
    <cellStyle name="Normal" xfId="0" builtinId="0" customBuiltin="1"/>
    <cellStyle name="Normal 10" xfId="7492" xr:uid="{B651337B-399D-4477-A04F-401D11FB5EAD}"/>
    <cellStyle name="Normal 11" xfId="8324" xr:uid="{3721887E-B349-4268-B44B-F9FEF5D06379}"/>
    <cellStyle name="Normal 12" xfId="8329" xr:uid="{2A389B62-AB9B-487A-8A58-688085028D45}"/>
    <cellStyle name="Normal 13" xfId="8333" xr:uid="{E8C0E306-7AF0-4E43-AB2E-EA457EDCAC63}"/>
    <cellStyle name="Normal 14" xfId="8337" xr:uid="{2858BE9D-9708-4B1C-A517-9CED4FE81F15}"/>
    <cellStyle name="Normal 15" xfId="8341" xr:uid="{82D18946-B091-4B12-80A4-04E8A31E931A}"/>
    <cellStyle name="Normal 2" xfId="49" xr:uid="{00000000-0005-0000-0000-000012030000}"/>
    <cellStyle name="Normal 3" xfId="4163" xr:uid="{AF569274-02C7-433A-B2B1-5D51E4588690}"/>
    <cellStyle name="Normal 3 2" xfId="4165" xr:uid="{D276F0F3-94D3-4563-8C7F-9F78A3C8F920}"/>
    <cellStyle name="Normal 3 2 2" xfId="7495" xr:uid="{5E03521C-30DE-44A5-8E72-B792A2A16F83}"/>
    <cellStyle name="Normal 3 3" xfId="7470" xr:uid="{0F59D1FC-CBB7-4551-97FD-0C9E1FA0F33E}"/>
    <cellStyle name="Normal 4" xfId="7474" xr:uid="{B9BDA78C-4099-4C38-8440-214F802F15E9}"/>
    <cellStyle name="Normal 5" xfId="7477" xr:uid="{2BB09494-C7B5-4E9A-87C0-FFD6C9ED452E}"/>
    <cellStyle name="Normal 6" xfId="7480" xr:uid="{5E6A5D6B-D73F-4576-93FD-661748332DA1}"/>
    <cellStyle name="Normal 7" xfId="7483" xr:uid="{6925096F-1FD8-4935-A231-FF39B5F9E8FC}"/>
    <cellStyle name="Normal 8" xfId="7486" xr:uid="{FAF7AD86-BDED-41E3-8A64-BCBDC36B4DAA}"/>
    <cellStyle name="Normal 9" xfId="7489" xr:uid="{D79AA5B5-7D9E-454B-81BC-554728EAE05B}"/>
    <cellStyle name="Normal 9 2" xfId="8328" xr:uid="{74E95846-B247-492B-8BC3-F963259A63A7}"/>
    <cellStyle name="Normal 9 3" xfId="8332" xr:uid="{16594E4F-691D-40D9-A2D3-104F17C722F7}"/>
    <cellStyle name="Normal 9 4" xfId="8336" xr:uid="{F6DA7838-A0D3-4B10-9592-11B52EF5CCF6}"/>
    <cellStyle name="Normal 9 5" xfId="8340" xr:uid="{DCD2D6F4-A28B-4C51-96B0-5F7DE2CA55F5}"/>
    <cellStyle name="Normal 9 6" xfId="8344" xr:uid="{41CFDEAA-0D6C-4763-B3EC-17DC959BFAE6}"/>
    <cellStyle name="Normal_Priority Direct Assessment Test" xfId="4" xr:uid="{00000000-0005-0000-0000-000005000000}"/>
    <cellStyle name="Normal_Priority Direct New Assessment" xfId="5" xr:uid="{00000000-0005-0000-0000-000006000000}"/>
    <cellStyle name="Note 2" xfId="50" xr:uid="{00000000-0005-0000-0000-000013030000}"/>
    <cellStyle name="Note 2 10" xfId="4182" xr:uid="{B4C0EFE7-0A32-462B-B108-8D09D26AD87C}"/>
    <cellStyle name="Note 2 11" xfId="8358" xr:uid="{9144AFC0-60E8-4DA3-B9D9-95E538F179C2}"/>
    <cellStyle name="Note 2 2" xfId="103" xr:uid="{00000000-0005-0000-0000-000014030000}"/>
    <cellStyle name="Note 2 2 10" xfId="8411" xr:uid="{98E6E30B-FEC5-4664-BA1E-F2CD627C4E17}"/>
    <cellStyle name="Note 2 2 2" xfId="208" xr:uid="{00000000-0005-0000-0000-000015030000}"/>
    <cellStyle name="Note 2 2 2 2" xfId="417" xr:uid="{00000000-0005-0000-0000-000016030000}"/>
    <cellStyle name="Note 2 2 2 2 2" xfId="834" xr:uid="{00000000-0005-0000-0000-000017030000}"/>
    <cellStyle name="Note 2 2 2 2 2 2" xfId="1660" xr:uid="{7A9B7DBA-D004-44EF-99EA-307DC00C3CE7}"/>
    <cellStyle name="Note 2 2 2 2 2 2 2" xfId="5792" xr:uid="{AC53D63F-A0C1-4C21-A084-73B815719772}"/>
    <cellStyle name="Note 2 2 2 2 2 3" xfId="2488" xr:uid="{745387CD-65AA-4AD7-9769-9448EC60EE8A}"/>
    <cellStyle name="Note 2 2 2 2 2 3 2" xfId="6619" xr:uid="{CCDBD1CF-6472-48AC-AE28-88EC32CF64F6}"/>
    <cellStyle name="Note 2 2 2 2 2 4" xfId="3312" xr:uid="{046A85B6-BA39-44A7-A8CE-D6441A2AED26}"/>
    <cellStyle name="Note 2 2 2 2 2 4 2" xfId="7443" xr:uid="{364723FB-DB88-495F-8913-D986FFCFFC2A}"/>
    <cellStyle name="Note 2 2 2 2 2 5" xfId="4136" xr:uid="{3D97E3FB-777A-443D-8472-DA7985E8C773}"/>
    <cellStyle name="Note 2 2 2 2 2 5 2" xfId="8295" xr:uid="{59C77974-4000-466A-9C98-E47C97F7DE6A}"/>
    <cellStyle name="Note 2 2 2 2 2 6" xfId="4966" xr:uid="{6EFEF780-63FC-4A39-8F2D-A899F0B62BEE}"/>
    <cellStyle name="Note 2 2 2 2 2 7" xfId="9142" xr:uid="{E9AAA9A5-2DDD-4846-A58A-004B9D76FF71}"/>
    <cellStyle name="Note 2 2 2 2 3" xfId="1243" xr:uid="{F1E02E7B-A672-44DD-BD10-4B27EAA194F9}"/>
    <cellStyle name="Note 2 2 2 2 3 2" xfId="5375" xr:uid="{9C2F6E38-7C4F-4B88-A206-9983F331A84E}"/>
    <cellStyle name="Note 2 2 2 2 4" xfId="2071" xr:uid="{59999651-3E0E-416C-9376-94DD45686C3D}"/>
    <cellStyle name="Note 2 2 2 2 4 2" xfId="6202" xr:uid="{5A6E772A-34EF-4A05-AD23-F32D9E28C337}"/>
    <cellStyle name="Note 2 2 2 2 5" xfId="2895" xr:uid="{4C3EDD61-B1E7-419B-8548-E66D5BB27752}"/>
    <cellStyle name="Note 2 2 2 2 5 2" xfId="7026" xr:uid="{7584668A-5A69-4715-9D96-95C5A8C9C589}"/>
    <cellStyle name="Note 2 2 2 2 6" xfId="3719" xr:uid="{E054390F-61B1-4F14-ABFE-395FD70F41A4}"/>
    <cellStyle name="Note 2 2 2 2 6 2" xfId="7878" xr:uid="{C8E7E55D-E165-43C5-BD73-20A575863BE6}"/>
    <cellStyle name="Note 2 2 2 2 7" xfId="4549" xr:uid="{4C0C2FA2-D5AB-487A-9494-20641F243C01}"/>
    <cellStyle name="Note 2 2 2 2 8" xfId="8725" xr:uid="{12583612-55FC-44EA-92AF-65DE11ECB8D9}"/>
    <cellStyle name="Note 2 2 2 3" xfId="626" xr:uid="{00000000-0005-0000-0000-000018030000}"/>
    <cellStyle name="Note 2 2 2 3 2" xfId="1452" xr:uid="{B1DE930D-047C-4420-A3AF-88066393C35E}"/>
    <cellStyle name="Note 2 2 2 3 2 2" xfId="5584" xr:uid="{6FF90495-E111-420E-AC7D-B044D76649D4}"/>
    <cellStyle name="Note 2 2 2 3 3" xfId="2280" xr:uid="{9FB1AAE4-570D-4604-B1F2-9482E22552BF}"/>
    <cellStyle name="Note 2 2 2 3 3 2" xfId="6411" xr:uid="{04C0928F-9EBD-48E9-8C88-BF5C671A994D}"/>
    <cellStyle name="Note 2 2 2 3 4" xfId="3104" xr:uid="{35B5B14C-E7F3-43F9-B854-7D4ACB7676A0}"/>
    <cellStyle name="Note 2 2 2 3 4 2" xfId="7235" xr:uid="{205D11B4-0F4B-420B-867E-B69947B89BA9}"/>
    <cellStyle name="Note 2 2 2 3 5" xfId="3928" xr:uid="{635270D8-1CCE-4173-865A-1A20AC3E76C3}"/>
    <cellStyle name="Note 2 2 2 3 5 2" xfId="8087" xr:uid="{3D2D1C83-71C5-4A8E-B9D9-D8A09AEF3BF8}"/>
    <cellStyle name="Note 2 2 2 3 6" xfId="4758" xr:uid="{4786737F-4337-4510-9B63-DFA08A90CD53}"/>
    <cellStyle name="Note 2 2 2 3 7" xfId="8934" xr:uid="{570CD104-384D-4F9E-A667-BE76430B0C53}"/>
    <cellStyle name="Note 2 2 2 4" xfId="1034" xr:uid="{25E5B49A-3AF7-4D6F-8960-1C36D4CA03AC}"/>
    <cellStyle name="Note 2 2 2 4 2" xfId="5166" xr:uid="{5B167A34-5402-4268-994C-453633126D75}"/>
    <cellStyle name="Note 2 2 2 5" xfId="1862" xr:uid="{3762BF44-67D9-4E6D-B823-83DB8952A174}"/>
    <cellStyle name="Note 2 2 2 5 2" xfId="5993" xr:uid="{2D54030F-8844-477F-95CE-29B36F752B2A}"/>
    <cellStyle name="Note 2 2 2 6" xfId="2686" xr:uid="{AD455CA9-0FFA-49EC-A9B9-EF143A0627C0}"/>
    <cellStyle name="Note 2 2 2 6 2" xfId="6817" xr:uid="{6B0386CF-ADC9-42EB-8FB6-8FE70883C1F7}"/>
    <cellStyle name="Note 2 2 2 7" xfId="3510" xr:uid="{5898EFA2-A7A2-4B09-89FC-FD3AB99AEE4F}"/>
    <cellStyle name="Note 2 2 2 7 2" xfId="7669" xr:uid="{029E5A4C-DE88-444F-82DA-BCF944A07229}"/>
    <cellStyle name="Note 2 2 2 8" xfId="4340" xr:uid="{9A90FD86-EB2B-4A82-8D8B-0C791C73F4B8}"/>
    <cellStyle name="Note 2 2 2 9" xfId="8516" xr:uid="{C3B56CFE-49FB-4C8C-AB95-297E4D2F5DAB}"/>
    <cellStyle name="Note 2 2 3" xfId="313" xr:uid="{00000000-0005-0000-0000-000019030000}"/>
    <cellStyle name="Note 2 2 3 2" xfId="730" xr:uid="{00000000-0005-0000-0000-00001A030000}"/>
    <cellStyle name="Note 2 2 3 2 2" xfId="1556" xr:uid="{55CDDCED-FA99-49E3-862C-1BA97060BD85}"/>
    <cellStyle name="Note 2 2 3 2 2 2" xfId="5688" xr:uid="{C6ED57C7-BC4A-48D5-968A-549B75AA3CA8}"/>
    <cellStyle name="Note 2 2 3 2 3" xfId="2384" xr:uid="{88ECF192-F721-41CD-85E3-7A137A7F175A}"/>
    <cellStyle name="Note 2 2 3 2 3 2" xfId="6515" xr:uid="{1C42CB1F-9287-4487-A15A-FA0F9E967653}"/>
    <cellStyle name="Note 2 2 3 2 4" xfId="3208" xr:uid="{FA40852E-4AFC-4620-A502-EE05B7DE0730}"/>
    <cellStyle name="Note 2 2 3 2 4 2" xfId="7339" xr:uid="{A2AAEEBD-17F4-45C7-9A1C-EE5EDFD25832}"/>
    <cellStyle name="Note 2 2 3 2 5" xfId="4032" xr:uid="{D498B335-01E2-411C-B765-8A9A967DB8AF}"/>
    <cellStyle name="Note 2 2 3 2 5 2" xfId="8191" xr:uid="{920EB2A8-4B9C-419A-AC7D-E080292AB498}"/>
    <cellStyle name="Note 2 2 3 2 6" xfId="4862" xr:uid="{7FFA3E4C-22F0-4774-BC88-1E7189CB79E7}"/>
    <cellStyle name="Note 2 2 3 2 7" xfId="9038" xr:uid="{97A2B0C7-712E-4BA0-BFA1-3A969E55EF0B}"/>
    <cellStyle name="Note 2 2 3 3" xfId="1139" xr:uid="{DBF50566-2244-4123-A1BC-BAAC7B803DFE}"/>
    <cellStyle name="Note 2 2 3 3 2" xfId="5271" xr:uid="{FE464132-39DA-44F4-A8CB-68E5C05BC5AD}"/>
    <cellStyle name="Note 2 2 3 4" xfId="1967" xr:uid="{9828692E-0ED2-40A1-A6E5-B4E892FAB801}"/>
    <cellStyle name="Note 2 2 3 4 2" xfId="6098" xr:uid="{ED5AD17D-C14C-4F91-8FB8-FA243AFB22F4}"/>
    <cellStyle name="Note 2 2 3 5" xfId="2791" xr:uid="{2D823624-563D-4075-AC00-AF4EA304C187}"/>
    <cellStyle name="Note 2 2 3 5 2" xfId="6922" xr:uid="{BA92E32C-F914-45D1-A0BA-6A34921B085A}"/>
    <cellStyle name="Note 2 2 3 6" xfId="3615" xr:uid="{3E98E7FC-CE28-47B4-96CB-4B1A04847AB6}"/>
    <cellStyle name="Note 2 2 3 6 2" xfId="7774" xr:uid="{FF2626C0-3C19-46B9-8994-6852D743E4A3}"/>
    <cellStyle name="Note 2 2 3 7" xfId="4445" xr:uid="{2165BD9B-EF06-48F3-AE1C-3B0015D735FD}"/>
    <cellStyle name="Note 2 2 3 8" xfId="8621" xr:uid="{A4B18B15-0458-496F-9EEA-670C8B2EC058}"/>
    <cellStyle name="Note 2 2 4" xfId="522" xr:uid="{00000000-0005-0000-0000-00001B030000}"/>
    <cellStyle name="Note 2 2 4 2" xfId="1348" xr:uid="{F0C6E425-FE13-47E3-A0E1-5DF713C5707F}"/>
    <cellStyle name="Note 2 2 4 2 2" xfId="5480" xr:uid="{D83D8A8A-2EAA-421C-B235-CBC5FF63EB2D}"/>
    <cellStyle name="Note 2 2 4 3" xfId="2176" xr:uid="{D0A72974-A22F-44F4-91E2-5C9979DD8DF9}"/>
    <cellStyle name="Note 2 2 4 3 2" xfId="6307" xr:uid="{C4EFDAC2-EC78-495C-A143-CE6B81842439}"/>
    <cellStyle name="Note 2 2 4 4" xfId="3000" xr:uid="{CF7C1D50-BCE1-4F36-AC4A-8A9745FCF049}"/>
    <cellStyle name="Note 2 2 4 4 2" xfId="7131" xr:uid="{37D0649E-553E-42FF-9495-A198F6FCAC88}"/>
    <cellStyle name="Note 2 2 4 5" xfId="3824" xr:uid="{781FE9C2-3FE2-40B1-AA6A-6C398AE5D22D}"/>
    <cellStyle name="Note 2 2 4 5 2" xfId="7983" xr:uid="{A92E327B-53B0-4BFE-9DF8-1C1911425DCE}"/>
    <cellStyle name="Note 2 2 4 6" xfId="4654" xr:uid="{465CE6DE-5CFD-46A9-A8EB-44AB37DC345D}"/>
    <cellStyle name="Note 2 2 4 7" xfId="8830" xr:uid="{5D02E58B-E091-433B-B068-660D548DAEF2}"/>
    <cellStyle name="Note 2 2 5" xfId="929" xr:uid="{33DBC19B-AA97-4A83-9075-AF5D9F1173C9}"/>
    <cellStyle name="Note 2 2 5 2" xfId="5061" xr:uid="{E387ED74-D6B5-4CFC-A69D-28C1469506AE}"/>
    <cellStyle name="Note 2 2 6" xfId="1757" xr:uid="{9A0D296A-B5C4-4CCD-8087-8292B90220E7}"/>
    <cellStyle name="Note 2 2 6 2" xfId="5888" xr:uid="{B3C0EEC1-4605-46DE-BE7F-8688B6B25E6C}"/>
    <cellStyle name="Note 2 2 7" xfId="2581" xr:uid="{A9B35A0C-5571-434E-A74A-9B044A96BCE9}"/>
    <cellStyle name="Note 2 2 7 2" xfId="6712" xr:uid="{39FDF06F-49EF-47D3-8435-42FD4CE0F6CB}"/>
    <cellStyle name="Note 2 2 8" xfId="3405" xr:uid="{77990CB8-AD3C-4C27-8F2A-242FFC413BD1}"/>
    <cellStyle name="Note 2 2 8 2" xfId="7564" xr:uid="{F23B4154-B0C6-433E-BBF1-E3E4AADEC9B4}"/>
    <cellStyle name="Note 2 2 9" xfId="4235" xr:uid="{7483BD83-20C3-4D8C-98B1-E9A407A727C3}"/>
    <cellStyle name="Note 2 3" xfId="156" xr:uid="{00000000-0005-0000-0000-00001C030000}"/>
    <cellStyle name="Note 2 3 2" xfId="365" xr:uid="{00000000-0005-0000-0000-00001D030000}"/>
    <cellStyle name="Note 2 3 2 2" xfId="782" xr:uid="{00000000-0005-0000-0000-00001E030000}"/>
    <cellStyle name="Note 2 3 2 2 2" xfId="1608" xr:uid="{45170440-9F00-4453-B944-94FB955EC51C}"/>
    <cellStyle name="Note 2 3 2 2 2 2" xfId="5740" xr:uid="{7950BAEE-DE31-4DE7-8275-399EA90707A3}"/>
    <cellStyle name="Note 2 3 2 2 3" xfId="2436" xr:uid="{F07BAB65-30ED-464C-890F-7F8F07BBF4F6}"/>
    <cellStyle name="Note 2 3 2 2 3 2" xfId="6567" xr:uid="{A2DB49D9-5138-4B5B-8D87-0ABC654BB3A6}"/>
    <cellStyle name="Note 2 3 2 2 4" xfId="3260" xr:uid="{6F50CC37-60D8-4150-BA44-46B7E7BCCD7A}"/>
    <cellStyle name="Note 2 3 2 2 4 2" xfId="7391" xr:uid="{F48161E0-96D3-44B9-9721-1BC68D842AA7}"/>
    <cellStyle name="Note 2 3 2 2 5" xfId="4084" xr:uid="{10D20DB3-AF0B-4595-A2B5-1C83C2214006}"/>
    <cellStyle name="Note 2 3 2 2 5 2" xfId="8243" xr:uid="{8C1D93AC-93A5-42F9-BD71-0E585D708894}"/>
    <cellStyle name="Note 2 3 2 2 6" xfId="4914" xr:uid="{F72106BB-45A0-40C7-BD71-28C2C8A993B7}"/>
    <cellStyle name="Note 2 3 2 2 7" xfId="9090" xr:uid="{69777F98-ECD8-4BE7-B7DB-C5BEE534E6FE}"/>
    <cellStyle name="Note 2 3 2 3" xfId="1191" xr:uid="{6D4B223D-FE63-42EB-932A-809960D054FA}"/>
    <cellStyle name="Note 2 3 2 3 2" xfId="5323" xr:uid="{5BD20901-469E-4A6B-9BEF-018A79E9619F}"/>
    <cellStyle name="Note 2 3 2 4" xfId="2019" xr:uid="{96219BA4-1F7C-4142-885D-519B1CABF22F}"/>
    <cellStyle name="Note 2 3 2 4 2" xfId="6150" xr:uid="{59109BAD-3DE5-4C6C-914B-EA610789B0F6}"/>
    <cellStyle name="Note 2 3 2 5" xfId="2843" xr:uid="{A52A686C-D0A3-46D6-A193-5618E89EE942}"/>
    <cellStyle name="Note 2 3 2 5 2" xfId="6974" xr:uid="{8668A807-3DCE-40A2-97F7-B83A4812D4C4}"/>
    <cellStyle name="Note 2 3 2 6" xfId="3667" xr:uid="{7459F957-61B2-4142-B78D-65C3DA690D55}"/>
    <cellStyle name="Note 2 3 2 6 2" xfId="7826" xr:uid="{910DFE95-3615-4998-BBBF-E579CA0A74C0}"/>
    <cellStyle name="Note 2 3 2 7" xfId="4497" xr:uid="{B57FD52D-ADB7-46FB-A5FF-6FE41B78CA47}"/>
    <cellStyle name="Note 2 3 2 8" xfId="8673" xr:uid="{6956244D-50E0-4C6F-81C2-9DA064931060}"/>
    <cellStyle name="Note 2 3 3" xfId="574" xr:uid="{00000000-0005-0000-0000-00001F030000}"/>
    <cellStyle name="Note 2 3 3 2" xfId="1400" xr:uid="{C6113ABC-0AC5-4DDE-BF4A-35B20A04AA47}"/>
    <cellStyle name="Note 2 3 3 2 2" xfId="5532" xr:uid="{3B2E4F73-5F56-4529-9419-590581CFD8E2}"/>
    <cellStyle name="Note 2 3 3 3" xfId="2228" xr:uid="{BB72F748-88A0-4F1D-9871-EE3ABA665C20}"/>
    <cellStyle name="Note 2 3 3 3 2" xfId="6359" xr:uid="{111CBF7C-4724-42A8-85E9-92B64446FF8C}"/>
    <cellStyle name="Note 2 3 3 4" xfId="3052" xr:uid="{C15CF9D7-5737-4E2B-9197-233FD3215022}"/>
    <cellStyle name="Note 2 3 3 4 2" xfId="7183" xr:uid="{4EB8D3A2-CC21-4C6B-A11C-F5828A3DCC4A}"/>
    <cellStyle name="Note 2 3 3 5" xfId="3876" xr:uid="{59E50D7F-1F5F-4BD8-9C56-C1575BF6CA1E}"/>
    <cellStyle name="Note 2 3 3 5 2" xfId="8035" xr:uid="{9FB5EE7D-B5BF-463D-B78D-8ADAF79B97CC}"/>
    <cellStyle name="Note 2 3 3 6" xfId="4706" xr:uid="{435BF6DD-E64E-4CD6-A376-8EBE00F0EEC3}"/>
    <cellStyle name="Note 2 3 3 7" xfId="8882" xr:uid="{1FCB2615-D978-43CF-9F6D-B0B2783FACEF}"/>
    <cellStyle name="Note 2 3 4" xfId="982" xr:uid="{4F1AC1FC-E993-4432-9012-F124F8209CE5}"/>
    <cellStyle name="Note 2 3 4 2" xfId="5114" xr:uid="{9A92C7E3-B5F6-408C-8092-267EDA57BFC8}"/>
    <cellStyle name="Note 2 3 5" xfId="1810" xr:uid="{E968827E-700E-43D2-93C9-FE841636011B}"/>
    <cellStyle name="Note 2 3 5 2" xfId="5941" xr:uid="{E554A8BF-88F1-46C4-AF56-60DE504176DA}"/>
    <cellStyle name="Note 2 3 6" xfId="2634" xr:uid="{1C54F091-2369-4326-AAEB-1BC54994F340}"/>
    <cellStyle name="Note 2 3 6 2" xfId="6765" xr:uid="{E23CD2D4-5FE0-4ABB-A960-0B08F6F55561}"/>
    <cellStyle name="Note 2 3 7" xfId="3458" xr:uid="{48614DBA-A4B4-49C6-95FB-277F4550A171}"/>
    <cellStyle name="Note 2 3 7 2" xfId="7617" xr:uid="{CE64BF73-34A3-4347-97CA-BA4DC7C9C311}"/>
    <cellStyle name="Note 2 3 8" xfId="4288" xr:uid="{A8227D4C-3400-4256-9887-09222955D31F}"/>
    <cellStyle name="Note 2 3 9" xfId="8464" xr:uid="{1ABD08F2-6DBE-4973-88DA-FFF1F45169EB}"/>
    <cellStyle name="Note 2 4" xfId="261" xr:uid="{00000000-0005-0000-0000-000020030000}"/>
    <cellStyle name="Note 2 4 2" xfId="678" xr:uid="{00000000-0005-0000-0000-000021030000}"/>
    <cellStyle name="Note 2 4 2 2" xfId="1504" xr:uid="{5B2EBE4E-CDBB-4B63-92AE-B95DFE596DFA}"/>
    <cellStyle name="Note 2 4 2 2 2" xfId="5636" xr:uid="{7CE7976B-17F1-47D6-8C62-CBC3608A2BEE}"/>
    <cellStyle name="Note 2 4 2 3" xfId="2332" xr:uid="{1B5CAF3D-297C-4B22-872B-1953867C7F09}"/>
    <cellStyle name="Note 2 4 2 3 2" xfId="6463" xr:uid="{88D5F15C-9352-43E3-9C7F-B37BE4E4699A}"/>
    <cellStyle name="Note 2 4 2 4" xfId="3156" xr:uid="{4EF8E24C-4060-4BF5-9192-7147C2C91C7C}"/>
    <cellStyle name="Note 2 4 2 4 2" xfId="7287" xr:uid="{BB4B907C-11B7-4442-BF07-658D6AFC6841}"/>
    <cellStyle name="Note 2 4 2 5" xfId="3980" xr:uid="{1F6D150C-6587-4B6C-B50E-0727EC54BC29}"/>
    <cellStyle name="Note 2 4 2 5 2" xfId="8139" xr:uid="{C3F4951C-08D9-4DAB-9F33-86222225776E}"/>
    <cellStyle name="Note 2 4 2 6" xfId="4810" xr:uid="{493C276B-720A-474C-98AA-BCAC13B4ADBA}"/>
    <cellStyle name="Note 2 4 2 7" xfId="8986" xr:uid="{5D24FE80-D5A4-41C5-BF7D-F83AAEED3358}"/>
    <cellStyle name="Note 2 4 3" xfId="1087" xr:uid="{CA47A4DF-E9A0-494F-9A02-97082C665C31}"/>
    <cellStyle name="Note 2 4 3 2" xfId="5219" xr:uid="{7D9E00A4-9E56-4D2E-8AEA-AF6E7CCB422F}"/>
    <cellStyle name="Note 2 4 4" xfId="1915" xr:uid="{711B0EA4-6290-4984-BAF1-D369E8BCF544}"/>
    <cellStyle name="Note 2 4 4 2" xfId="6046" xr:uid="{E183826F-65CA-4F5F-B83D-0B2E80D61382}"/>
    <cellStyle name="Note 2 4 5" xfId="2739" xr:uid="{A9509940-FD8D-47C0-879E-ADAD9485B3D5}"/>
    <cellStyle name="Note 2 4 5 2" xfId="6870" xr:uid="{1E4C1D26-1603-4B57-B3B7-E4785D0AD200}"/>
    <cellStyle name="Note 2 4 6" xfId="3563" xr:uid="{61095BC8-CCCE-42B5-B04B-33570A138387}"/>
    <cellStyle name="Note 2 4 6 2" xfId="7722" xr:uid="{12E26882-8D37-4BD5-A896-3A212B1CA67E}"/>
    <cellStyle name="Note 2 4 7" xfId="4393" xr:uid="{52EC1B22-D650-44D0-87FE-8B1383EFDC1E}"/>
    <cellStyle name="Note 2 4 8" xfId="8569" xr:uid="{7102EDD3-634F-4946-AC32-A4840DBD4DC4}"/>
    <cellStyle name="Note 2 5" xfId="470" xr:uid="{00000000-0005-0000-0000-000022030000}"/>
    <cellStyle name="Note 2 5 2" xfId="1296" xr:uid="{3925A865-AE8D-47D1-8083-27C5EBA943C1}"/>
    <cellStyle name="Note 2 5 2 2" xfId="5428" xr:uid="{F6391282-4AED-411A-844A-0DCB557AC06D}"/>
    <cellStyle name="Note 2 5 3" xfId="2124" xr:uid="{1C7192EC-0415-4237-9983-F6235E09C98F}"/>
    <cellStyle name="Note 2 5 3 2" xfId="6255" xr:uid="{C816606E-4932-4454-A2D8-33F3592B6BA5}"/>
    <cellStyle name="Note 2 5 4" xfId="2948" xr:uid="{D6940821-D385-4FE4-8A41-A399469628A0}"/>
    <cellStyle name="Note 2 5 4 2" xfId="7079" xr:uid="{8D91CEB0-C998-47F3-8E87-CBCEE5392034}"/>
    <cellStyle name="Note 2 5 5" xfId="3772" xr:uid="{0BE673D2-4E45-4C9D-9D02-037CEFAE99D4}"/>
    <cellStyle name="Note 2 5 5 2" xfId="7931" xr:uid="{95928256-216D-42FC-914C-018FFA9402E7}"/>
    <cellStyle name="Note 2 5 6" xfId="4602" xr:uid="{0CBA8E75-77F7-4F23-AF6D-5DD36C151322}"/>
    <cellStyle name="Note 2 5 7" xfId="8778" xr:uid="{0A65B4E2-B11D-43B7-812C-9EFB683AF03E}"/>
    <cellStyle name="Note 2 6" xfId="876" xr:uid="{75B5F54D-EAF0-476E-A607-AB07CA8E947E}"/>
    <cellStyle name="Note 2 6 2" xfId="5008" xr:uid="{31E03B98-3D98-4F0F-8F8E-C53069FF0F5C}"/>
    <cellStyle name="Note 2 7" xfId="1704" xr:uid="{D263DC71-EC3B-4691-B95B-0779043ED68E}"/>
    <cellStyle name="Note 2 7 2" xfId="5835" xr:uid="{EE81E796-D389-4C52-ADAF-28CA0FED0560}"/>
    <cellStyle name="Note 2 8" xfId="2528" xr:uid="{5797BE42-A8E8-4B27-8C5D-C9E2E5B71BC8}"/>
    <cellStyle name="Note 2 8 2" xfId="6659" xr:uid="{1CCB1F09-6A23-4E27-9B7F-D941CB6D9815}"/>
    <cellStyle name="Note 2 9" xfId="3352" xr:uid="{532D4EC9-1F38-4450-8DC7-58CAB0DA1813}"/>
    <cellStyle name="Note 2 9 2" xfId="7511" xr:uid="{CC8E4C2B-6A52-4DB7-B095-57D6824AFA88}"/>
    <cellStyle name="Note 3" xfId="51" xr:uid="{00000000-0005-0000-0000-000023030000}"/>
    <cellStyle name="Note 3 10" xfId="4183" xr:uid="{01F46586-F83A-4D7C-80D6-BD6D15B3D316}"/>
    <cellStyle name="Note 3 11" xfId="8359" xr:uid="{511F6474-6140-4F9A-BF53-0E74C4E16500}"/>
    <cellStyle name="Note 3 2" xfId="104" xr:uid="{00000000-0005-0000-0000-000024030000}"/>
    <cellStyle name="Note 3 2 10" xfId="8412" xr:uid="{00E88EC8-8205-431A-938F-D5020F88F1B8}"/>
    <cellStyle name="Note 3 2 2" xfId="209" xr:uid="{00000000-0005-0000-0000-000025030000}"/>
    <cellStyle name="Note 3 2 2 2" xfId="418" xr:uid="{00000000-0005-0000-0000-000026030000}"/>
    <cellStyle name="Note 3 2 2 2 2" xfId="835" xr:uid="{00000000-0005-0000-0000-000027030000}"/>
    <cellStyle name="Note 3 2 2 2 2 2" xfId="1661" xr:uid="{1AF17DA9-01AB-4FB5-85DE-42055BBE7698}"/>
    <cellStyle name="Note 3 2 2 2 2 2 2" xfId="5793" xr:uid="{D1375241-3208-4BD0-8C8F-2605BC59B884}"/>
    <cellStyle name="Note 3 2 2 2 2 3" xfId="2489" xr:uid="{F6237337-5AEE-40A0-BF2C-0FE0E417A766}"/>
    <cellStyle name="Note 3 2 2 2 2 3 2" xfId="6620" xr:uid="{C893482A-E500-4A58-81A8-AF1A6467E485}"/>
    <cellStyle name="Note 3 2 2 2 2 4" xfId="3313" xr:uid="{F402CE80-4885-4791-8BD7-7AC871A95787}"/>
    <cellStyle name="Note 3 2 2 2 2 4 2" xfId="7444" xr:uid="{270912B4-BBC0-4216-88CC-825BFBE18239}"/>
    <cellStyle name="Note 3 2 2 2 2 5" xfId="4137" xr:uid="{85906F12-4842-4731-A1D4-5429507B7C41}"/>
    <cellStyle name="Note 3 2 2 2 2 5 2" xfId="8296" xr:uid="{95A6A036-BC88-4675-99BD-4FA9683EEADE}"/>
    <cellStyle name="Note 3 2 2 2 2 6" xfId="4967" xr:uid="{4CD45E17-B672-4D8D-9271-AA60AA8F860A}"/>
    <cellStyle name="Note 3 2 2 2 2 7" xfId="9143" xr:uid="{9838CC91-84F1-4933-A200-4F1AB545B5F8}"/>
    <cellStyle name="Note 3 2 2 2 3" xfId="1244" xr:uid="{9B0DE05A-32A1-461F-B58C-E89A1732CA6A}"/>
    <cellStyle name="Note 3 2 2 2 3 2" xfId="5376" xr:uid="{3DDF3CF4-852F-4B33-A90D-9EC2AE7ADF18}"/>
    <cellStyle name="Note 3 2 2 2 4" xfId="2072" xr:uid="{5A0AE6BD-0D9B-49C0-BDE5-7ED85796AC8B}"/>
    <cellStyle name="Note 3 2 2 2 4 2" xfId="6203" xr:uid="{0BDC4F2D-2C1D-47E6-9744-694C04DBB512}"/>
    <cellStyle name="Note 3 2 2 2 5" xfId="2896" xr:uid="{4EAB1FD2-C77B-4A41-A949-A9CE8A5F008C}"/>
    <cellStyle name="Note 3 2 2 2 5 2" xfId="7027" xr:uid="{E21F2EC7-81F6-48DE-9955-B1DC36F86206}"/>
    <cellStyle name="Note 3 2 2 2 6" xfId="3720" xr:uid="{B611AEF7-5420-4142-AB10-13D8EA8303AD}"/>
    <cellStyle name="Note 3 2 2 2 6 2" xfId="7879" xr:uid="{6072B454-00D1-4D23-B1DF-F457477B353E}"/>
    <cellStyle name="Note 3 2 2 2 7" xfId="4550" xr:uid="{E16BDED5-CEE3-444E-8DB8-5EF8A6E5905A}"/>
    <cellStyle name="Note 3 2 2 2 8" xfId="8726" xr:uid="{03615EAB-E431-46DE-990D-B7C4007494B2}"/>
    <cellStyle name="Note 3 2 2 3" xfId="627" xr:uid="{00000000-0005-0000-0000-000028030000}"/>
    <cellStyle name="Note 3 2 2 3 2" xfId="1453" xr:uid="{604B7018-6C5A-44A4-8FD0-2AAE4030021C}"/>
    <cellStyle name="Note 3 2 2 3 2 2" xfId="5585" xr:uid="{E40E5F43-865A-477B-9BCF-0631F89D3D5C}"/>
    <cellStyle name="Note 3 2 2 3 3" xfId="2281" xr:uid="{80DCF4AC-6E50-431A-B8B1-6D0C5742F5B9}"/>
    <cellStyle name="Note 3 2 2 3 3 2" xfId="6412" xr:uid="{7413DEF2-6C07-46D5-B395-92B2AD535396}"/>
    <cellStyle name="Note 3 2 2 3 4" xfId="3105" xr:uid="{C05E664E-57A8-4920-B5CB-75781F7F2625}"/>
    <cellStyle name="Note 3 2 2 3 4 2" xfId="7236" xr:uid="{C18348DA-9E78-4FBE-AFA0-DE8AA30F0CF1}"/>
    <cellStyle name="Note 3 2 2 3 5" xfId="3929" xr:uid="{5266B144-ADBC-44EF-A45F-3DA14976BB47}"/>
    <cellStyle name="Note 3 2 2 3 5 2" xfId="8088" xr:uid="{AFBE3B24-10E0-4C3F-8EB5-295D4E3C2EB7}"/>
    <cellStyle name="Note 3 2 2 3 6" xfId="4759" xr:uid="{02773F34-3CC7-4E22-BBFA-15F9102FC4D5}"/>
    <cellStyle name="Note 3 2 2 3 7" xfId="8935" xr:uid="{6AF87CCE-FCE8-4107-8850-FBE4EC06836A}"/>
    <cellStyle name="Note 3 2 2 4" xfId="1035" xr:uid="{5D86580C-9C9F-449F-AC5B-4D0A0900906F}"/>
    <cellStyle name="Note 3 2 2 4 2" xfId="5167" xr:uid="{D348645E-294D-4727-852B-ACDA8CCE49F9}"/>
    <cellStyle name="Note 3 2 2 5" xfId="1863" xr:uid="{54C11C98-E55C-4BA7-88A0-19700D625234}"/>
    <cellStyle name="Note 3 2 2 5 2" xfId="5994" xr:uid="{291E543E-4230-486D-8841-5370AD560AA2}"/>
    <cellStyle name="Note 3 2 2 6" xfId="2687" xr:uid="{7BCA514B-0DD0-42AE-85FE-83E6CF3B3858}"/>
    <cellStyle name="Note 3 2 2 6 2" xfId="6818" xr:uid="{2AA36592-CCA1-42CD-B04D-2D92017EF43C}"/>
    <cellStyle name="Note 3 2 2 7" xfId="3511" xr:uid="{C2C7B433-4A6C-4077-B1F9-ADEC37AEE370}"/>
    <cellStyle name="Note 3 2 2 7 2" xfId="7670" xr:uid="{5E7EF058-F8BF-4356-B74A-AF4343FCECB9}"/>
    <cellStyle name="Note 3 2 2 8" xfId="4341" xr:uid="{4CE795EC-D8CE-462B-B280-6A58EB23ADA3}"/>
    <cellStyle name="Note 3 2 2 9" xfId="8517" xr:uid="{05702C61-B28F-4468-B304-C81869C72E4E}"/>
    <cellStyle name="Note 3 2 3" xfId="314" xr:uid="{00000000-0005-0000-0000-000029030000}"/>
    <cellStyle name="Note 3 2 3 2" xfId="731" xr:uid="{00000000-0005-0000-0000-00002A030000}"/>
    <cellStyle name="Note 3 2 3 2 2" xfId="1557" xr:uid="{48829DF4-8F65-4DAB-A9D5-FF8720473987}"/>
    <cellStyle name="Note 3 2 3 2 2 2" xfId="5689" xr:uid="{30CC974A-DF0D-4510-9C23-503E3EA5125E}"/>
    <cellStyle name="Note 3 2 3 2 3" xfId="2385" xr:uid="{0D71CADF-513E-4793-B062-B1F0A8D37B3D}"/>
    <cellStyle name="Note 3 2 3 2 3 2" xfId="6516" xr:uid="{349293D4-A684-4E9C-992B-32EEC54C97E4}"/>
    <cellStyle name="Note 3 2 3 2 4" xfId="3209" xr:uid="{4C84951E-7135-48D0-B271-5A355396127F}"/>
    <cellStyle name="Note 3 2 3 2 4 2" xfId="7340" xr:uid="{6994A83A-0770-45F7-9AC5-A778697EE53A}"/>
    <cellStyle name="Note 3 2 3 2 5" xfId="4033" xr:uid="{7EDDD383-9367-47A0-9D8C-66DD7AB84585}"/>
    <cellStyle name="Note 3 2 3 2 5 2" xfId="8192" xr:uid="{D30C17BF-9DC7-4EA9-BB5E-6A7A5E727E8E}"/>
    <cellStyle name="Note 3 2 3 2 6" xfId="4863" xr:uid="{F47902D4-FFF3-490F-9A3F-D2E9D301AC2D}"/>
    <cellStyle name="Note 3 2 3 2 7" xfId="9039" xr:uid="{81CBF71B-0C57-4969-87D4-ACB2E4ED96CE}"/>
    <cellStyle name="Note 3 2 3 3" xfId="1140" xr:uid="{DED9B22A-CDE6-434E-A2B4-03D153941C15}"/>
    <cellStyle name="Note 3 2 3 3 2" xfId="5272" xr:uid="{FF06EDD3-2244-470E-A6DA-1E1F29F452B8}"/>
    <cellStyle name="Note 3 2 3 4" xfId="1968" xr:uid="{2417F529-964C-4D7B-B4A2-005707C90895}"/>
    <cellStyle name="Note 3 2 3 4 2" xfId="6099" xr:uid="{D1BDCABD-82AA-4059-9953-9149B839C3E0}"/>
    <cellStyle name="Note 3 2 3 5" xfId="2792" xr:uid="{76EDF4A1-0BED-4C95-90DE-23DE34AED69D}"/>
    <cellStyle name="Note 3 2 3 5 2" xfId="6923" xr:uid="{589C9F8A-7EB6-476B-AB44-80D4DE685444}"/>
    <cellStyle name="Note 3 2 3 6" xfId="3616" xr:uid="{86C49800-4BC8-456E-8AE0-CDC493C97333}"/>
    <cellStyle name="Note 3 2 3 6 2" xfId="7775" xr:uid="{DDE78FE8-9125-47EE-A821-DDE760E25267}"/>
    <cellStyle name="Note 3 2 3 7" xfId="4446" xr:uid="{701099B1-C98A-4F10-8F4B-CF480E0EC356}"/>
    <cellStyle name="Note 3 2 3 8" xfId="8622" xr:uid="{0BB97F59-4503-4700-826A-9E123512FBCB}"/>
    <cellStyle name="Note 3 2 4" xfId="523" xr:uid="{00000000-0005-0000-0000-00002B030000}"/>
    <cellStyle name="Note 3 2 4 2" xfId="1349" xr:uid="{EEEB270F-26B1-4AB9-ACFE-2DA4C650005C}"/>
    <cellStyle name="Note 3 2 4 2 2" xfId="5481" xr:uid="{41B102CF-B88D-4B2D-87D5-76A9E648C1EC}"/>
    <cellStyle name="Note 3 2 4 3" xfId="2177" xr:uid="{A7AB6DE5-2D63-467A-99F0-3E280EECEC0B}"/>
    <cellStyle name="Note 3 2 4 3 2" xfId="6308" xr:uid="{A55439DD-BDC5-4A93-A0EF-1BAE9D657065}"/>
    <cellStyle name="Note 3 2 4 4" xfId="3001" xr:uid="{97230944-42FB-42B5-8C5A-6ED0DD2D71F7}"/>
    <cellStyle name="Note 3 2 4 4 2" xfId="7132" xr:uid="{830094E0-7659-45E9-9F1F-E377B3AA4754}"/>
    <cellStyle name="Note 3 2 4 5" xfId="3825" xr:uid="{4BBE0D6F-1F28-4052-A604-0F4FFDEA93AC}"/>
    <cellStyle name="Note 3 2 4 5 2" xfId="7984" xr:uid="{B9544331-86AE-4E93-85D5-102971670E31}"/>
    <cellStyle name="Note 3 2 4 6" xfId="4655" xr:uid="{BE891D19-F4A8-4AA8-80F6-B534D3D38B31}"/>
    <cellStyle name="Note 3 2 4 7" xfId="8831" xr:uid="{0E0FA2EB-22FD-4765-8E65-8784D59E4440}"/>
    <cellStyle name="Note 3 2 5" xfId="930" xr:uid="{9F4EE6B8-89C5-48F6-8A03-9E4D73611B80}"/>
    <cellStyle name="Note 3 2 5 2" xfId="5062" xr:uid="{EAD1A0B2-8210-41EE-B99C-81EBDB023212}"/>
    <cellStyle name="Note 3 2 6" xfId="1758" xr:uid="{5258A9F5-8029-4935-9298-DF1BBD093B84}"/>
    <cellStyle name="Note 3 2 6 2" xfId="5889" xr:uid="{6E70FFC5-FEC4-4011-88D3-0BD99C4C80DE}"/>
    <cellStyle name="Note 3 2 7" xfId="2582" xr:uid="{5C2E0BA7-B824-4EDD-A2CC-B69F05D9C449}"/>
    <cellStyle name="Note 3 2 7 2" xfId="6713" xr:uid="{51FB1BE9-6FA3-4EB6-A5B7-C381272E9C9D}"/>
    <cellStyle name="Note 3 2 8" xfId="3406" xr:uid="{29506948-DD77-4C1E-A505-E68A93F446E0}"/>
    <cellStyle name="Note 3 2 8 2" xfId="7565" xr:uid="{45CE1CA1-5130-4176-8D29-229C4AC9567D}"/>
    <cellStyle name="Note 3 2 9" xfId="4236" xr:uid="{B1BA497B-5BFA-4591-BCD5-D1ACD1CBB899}"/>
    <cellStyle name="Note 3 3" xfId="157" xr:uid="{00000000-0005-0000-0000-00002C030000}"/>
    <cellStyle name="Note 3 3 2" xfId="366" xr:uid="{00000000-0005-0000-0000-00002D030000}"/>
    <cellStyle name="Note 3 3 2 2" xfId="783" xr:uid="{00000000-0005-0000-0000-00002E030000}"/>
    <cellStyle name="Note 3 3 2 2 2" xfId="1609" xr:uid="{45E33324-0159-43FC-906F-EB2F9103E3EC}"/>
    <cellStyle name="Note 3 3 2 2 2 2" xfId="5741" xr:uid="{932520FF-CC26-4689-AA86-43C0B68CE25C}"/>
    <cellStyle name="Note 3 3 2 2 3" xfId="2437" xr:uid="{85EDD2FE-33B5-4F48-B9E5-B0E1F7394630}"/>
    <cellStyle name="Note 3 3 2 2 3 2" xfId="6568" xr:uid="{F27D32DF-9EFB-4D6A-8EA7-D693D7DCBF7B}"/>
    <cellStyle name="Note 3 3 2 2 4" xfId="3261" xr:uid="{BFB23FB2-6C8D-49AA-B97A-91167056AC4F}"/>
    <cellStyle name="Note 3 3 2 2 4 2" xfId="7392" xr:uid="{A0810403-143D-4D96-91EC-1A099EF7D298}"/>
    <cellStyle name="Note 3 3 2 2 5" xfId="4085" xr:uid="{2D3BDCBE-885B-46BF-A5BA-FA3E4B130137}"/>
    <cellStyle name="Note 3 3 2 2 5 2" xfId="8244" xr:uid="{9490447A-CA53-4A07-B920-1E1D196BD704}"/>
    <cellStyle name="Note 3 3 2 2 6" xfId="4915" xr:uid="{C9FCD754-7D1F-482F-843D-2C5F130C3BED}"/>
    <cellStyle name="Note 3 3 2 2 7" xfId="9091" xr:uid="{CF1D02E5-1E13-4789-AD7E-6F800C56DD37}"/>
    <cellStyle name="Note 3 3 2 3" xfId="1192" xr:uid="{0903CD76-8B66-46BB-B542-16C31E44A967}"/>
    <cellStyle name="Note 3 3 2 3 2" xfId="5324" xr:uid="{7EB06EDE-3056-4BBA-9DC3-CB469C65062A}"/>
    <cellStyle name="Note 3 3 2 4" xfId="2020" xr:uid="{3EF8BB0E-3D07-4E0F-8F4A-BE996C25B778}"/>
    <cellStyle name="Note 3 3 2 4 2" xfId="6151" xr:uid="{5BB13D30-959C-4F5B-BF1C-A88AC7D4A869}"/>
    <cellStyle name="Note 3 3 2 5" xfId="2844" xr:uid="{97802BCF-DBC5-4EBA-B8B9-CD2FD582B6F0}"/>
    <cellStyle name="Note 3 3 2 5 2" xfId="6975" xr:uid="{3A8E2C38-A4AB-4DAD-8415-460EB84587EC}"/>
    <cellStyle name="Note 3 3 2 6" xfId="3668" xr:uid="{62778A51-F62A-4956-B2A2-F7DE3E50172C}"/>
    <cellStyle name="Note 3 3 2 6 2" xfId="7827" xr:uid="{BBDDE701-0893-44C1-851F-30EAAA327C5C}"/>
    <cellStyle name="Note 3 3 2 7" xfId="4498" xr:uid="{FD46334E-C457-48F7-9F6A-1B5D56122EBF}"/>
    <cellStyle name="Note 3 3 2 8" xfId="8674" xr:uid="{E43CDDF9-D238-4D7D-AEEB-AB8CE864F60E}"/>
    <cellStyle name="Note 3 3 3" xfId="575" xr:uid="{00000000-0005-0000-0000-00002F030000}"/>
    <cellStyle name="Note 3 3 3 2" xfId="1401" xr:uid="{A6638509-61E0-46CA-B79A-CE27C51DB546}"/>
    <cellStyle name="Note 3 3 3 2 2" xfId="5533" xr:uid="{F71519EB-9F26-4543-9384-096C90AF829F}"/>
    <cellStyle name="Note 3 3 3 3" xfId="2229" xr:uid="{6F48BFE2-F36B-4CF0-9940-BA92CAB467E0}"/>
    <cellStyle name="Note 3 3 3 3 2" xfId="6360" xr:uid="{0199AE10-450B-4571-85FA-E52FFC759501}"/>
    <cellStyle name="Note 3 3 3 4" xfId="3053" xr:uid="{4C6E2EC8-0C71-4F87-8FB2-4E3BD038D2A1}"/>
    <cellStyle name="Note 3 3 3 4 2" xfId="7184" xr:uid="{F982C4E1-87E3-4E82-84D3-DDEDF7E68C39}"/>
    <cellStyle name="Note 3 3 3 5" xfId="3877" xr:uid="{045BDED9-04A9-4DBD-B206-420B1C012682}"/>
    <cellStyle name="Note 3 3 3 5 2" xfId="8036" xr:uid="{934E3C3F-DC6D-4878-BDB2-A738EEE64BD0}"/>
    <cellStyle name="Note 3 3 3 6" xfId="4707" xr:uid="{F7B6875E-B18E-4804-ACEB-20D8A5C4BA4A}"/>
    <cellStyle name="Note 3 3 3 7" xfId="8883" xr:uid="{E38F0570-693C-4F3E-BB71-248D7171BE11}"/>
    <cellStyle name="Note 3 3 4" xfId="983" xr:uid="{1E931E18-4FF0-49CB-A52D-37319BC93BB5}"/>
    <cellStyle name="Note 3 3 4 2" xfId="5115" xr:uid="{29723E49-E29E-4282-8556-EBC1B6DEF9A2}"/>
    <cellStyle name="Note 3 3 5" xfId="1811" xr:uid="{84408FEE-881D-4BAB-B205-872AFDFC0162}"/>
    <cellStyle name="Note 3 3 5 2" xfId="5942" xr:uid="{39C92851-C326-48A0-A65D-BCE212B434F4}"/>
    <cellStyle name="Note 3 3 6" xfId="2635" xr:uid="{346FFD57-5268-4800-AEA6-1FB254C47C7F}"/>
    <cellStyle name="Note 3 3 6 2" xfId="6766" xr:uid="{A941A9E7-5DDC-4467-BF52-15647F3D7C4B}"/>
    <cellStyle name="Note 3 3 7" xfId="3459" xr:uid="{EAFCE451-4764-41FA-A57D-30437B20102A}"/>
    <cellStyle name="Note 3 3 7 2" xfId="7618" xr:uid="{79474FCE-811E-49E8-BADA-51053DACA480}"/>
    <cellStyle name="Note 3 3 8" xfId="4289" xr:uid="{F3AC0326-37F3-4277-8F79-BF2D8F6A7C3F}"/>
    <cellStyle name="Note 3 3 9" xfId="8465" xr:uid="{7E1AF6D8-6690-48A5-919C-2FD8ED732D9E}"/>
    <cellStyle name="Note 3 4" xfId="262" xr:uid="{00000000-0005-0000-0000-000030030000}"/>
    <cellStyle name="Note 3 4 2" xfId="679" xr:uid="{00000000-0005-0000-0000-000031030000}"/>
    <cellStyle name="Note 3 4 2 2" xfId="1505" xr:uid="{8464C8B9-CA83-4A82-BF0C-0079F8D22FA9}"/>
    <cellStyle name="Note 3 4 2 2 2" xfId="5637" xr:uid="{044228CF-2BCC-4232-8D62-B574EBFAC8D3}"/>
    <cellStyle name="Note 3 4 2 3" xfId="2333" xr:uid="{918A47DE-1C98-4842-968D-E21D14426276}"/>
    <cellStyle name="Note 3 4 2 3 2" xfId="6464" xr:uid="{CF381578-6CA9-4875-9318-93D5C19F9054}"/>
    <cellStyle name="Note 3 4 2 4" xfId="3157" xr:uid="{85630188-1AF3-434B-B143-BCA07AE3AFB9}"/>
    <cellStyle name="Note 3 4 2 4 2" xfId="7288" xr:uid="{24E88DCC-420A-40D2-9995-6343D0CD5CFF}"/>
    <cellStyle name="Note 3 4 2 5" xfId="3981" xr:uid="{E7EED55F-76F9-4D0C-9C7C-79BCE929FC2D}"/>
    <cellStyle name="Note 3 4 2 5 2" xfId="8140" xr:uid="{1B4476EE-0C85-4615-AC16-762D281F776C}"/>
    <cellStyle name="Note 3 4 2 6" xfId="4811" xr:uid="{01645256-A136-492F-9D1A-71EC3348B8FC}"/>
    <cellStyle name="Note 3 4 2 7" xfId="8987" xr:uid="{D46251C5-B92D-48FB-9337-33F3C4A90A6F}"/>
    <cellStyle name="Note 3 4 3" xfId="1088" xr:uid="{9008F033-AF27-42E1-A443-850304ABCACC}"/>
    <cellStyle name="Note 3 4 3 2" xfId="5220" xr:uid="{100E02FD-8FDD-4A4E-913A-DA37E85F89D1}"/>
    <cellStyle name="Note 3 4 4" xfId="1916" xr:uid="{C60F37AB-D9CE-4484-9DA9-E640F5CA74DF}"/>
    <cellStyle name="Note 3 4 4 2" xfId="6047" xr:uid="{68A3FD48-3831-4315-BCEB-897AF0333276}"/>
    <cellStyle name="Note 3 4 5" xfId="2740" xr:uid="{E5D2C176-E24F-4547-8C91-839F4F901F27}"/>
    <cellStyle name="Note 3 4 5 2" xfId="6871" xr:uid="{087D4D9C-9D36-4C29-9450-FE8C449B3289}"/>
    <cellStyle name="Note 3 4 6" xfId="3564" xr:uid="{021FEFE9-7D37-4F6D-8592-7B1F257F896E}"/>
    <cellStyle name="Note 3 4 6 2" xfId="7723" xr:uid="{5FE0D8A1-A98C-451A-8825-C270587AECCE}"/>
    <cellStyle name="Note 3 4 7" xfId="4394" xr:uid="{6C839D88-4259-4511-973F-44D01470D629}"/>
    <cellStyle name="Note 3 4 8" xfId="8570" xr:uid="{E367B587-6E8A-435A-B067-6634EAD9BFD9}"/>
    <cellStyle name="Note 3 5" xfId="471" xr:uid="{00000000-0005-0000-0000-000032030000}"/>
    <cellStyle name="Note 3 5 2" xfId="1297" xr:uid="{9C6658AA-BBAB-4E1A-9CD8-CA7BBA13884C}"/>
    <cellStyle name="Note 3 5 2 2" xfId="5429" xr:uid="{9D338FA1-021D-4FE1-9A3A-D91FDCABFC79}"/>
    <cellStyle name="Note 3 5 3" xfId="2125" xr:uid="{14D03699-2300-4383-AD9E-05A3739683E3}"/>
    <cellStyle name="Note 3 5 3 2" xfId="6256" xr:uid="{73F6513C-6B4B-4FE3-B660-7F5653EA6DE9}"/>
    <cellStyle name="Note 3 5 4" xfId="2949" xr:uid="{38790288-2C2F-46C2-8AFB-FE69200A2F3D}"/>
    <cellStyle name="Note 3 5 4 2" xfId="7080" xr:uid="{9A9362B7-7690-4D32-9AA5-DFE57A1D3319}"/>
    <cellStyle name="Note 3 5 5" xfId="3773" xr:uid="{18234EBC-47B4-4E5A-AE95-3F43CFBB6D2B}"/>
    <cellStyle name="Note 3 5 5 2" xfId="7932" xr:uid="{B8FDB99D-2668-4B1A-9808-94A2351C6472}"/>
    <cellStyle name="Note 3 5 6" xfId="4603" xr:uid="{C82DFDC6-CEF4-47E6-ADD0-8113090C1114}"/>
    <cellStyle name="Note 3 5 7" xfId="8779" xr:uid="{9777F4FB-0EF3-4339-8CC0-B27D5D827786}"/>
    <cellStyle name="Note 3 6" xfId="877" xr:uid="{890F79FF-40CF-45D9-830F-1A700AFF3FAE}"/>
    <cellStyle name="Note 3 6 2" xfId="5009" xr:uid="{68DFC9A4-4DDD-4F6A-B7DC-2E2E00BDEF96}"/>
    <cellStyle name="Note 3 7" xfId="1705" xr:uid="{CB5D2349-F6FD-49B1-9070-9E716DA37967}"/>
    <cellStyle name="Note 3 7 2" xfId="5836" xr:uid="{8A183435-2019-4918-B356-C9B13B0BD94F}"/>
    <cellStyle name="Note 3 8" xfId="2529" xr:uid="{48DA1661-4354-4A91-9E9A-5C5A32626BC1}"/>
    <cellStyle name="Note 3 8 2" xfId="6660" xr:uid="{12E9353F-E2F3-4D7F-A71C-028118D01BC2}"/>
    <cellStyle name="Note 3 9" xfId="3353" xr:uid="{D36C42AD-8157-4CAC-9502-F86137F2363C}"/>
    <cellStyle name="Note 3 9 2" xfId="7512" xr:uid="{01E81033-8D21-4CFB-A42F-3A35FEDCC393}"/>
    <cellStyle name="Note 4" xfId="64" xr:uid="{00000000-0005-0000-0000-000033030000}"/>
    <cellStyle name="Note 4 10" xfId="4196" xr:uid="{113D4B2F-B693-43A8-A714-1438F0BE53F3}"/>
    <cellStyle name="Note 4 11" xfId="8372" xr:uid="{87EB938F-574D-4350-9A41-9D32D7ACB46A}"/>
    <cellStyle name="Note 4 2" xfId="117" xr:uid="{00000000-0005-0000-0000-000034030000}"/>
    <cellStyle name="Note 4 2 10" xfId="8425" xr:uid="{B37EE52D-77A1-4FBB-BD9C-16F6DB875B0F}"/>
    <cellStyle name="Note 4 2 2" xfId="222" xr:uid="{00000000-0005-0000-0000-000035030000}"/>
    <cellStyle name="Note 4 2 2 2" xfId="431" xr:uid="{00000000-0005-0000-0000-000036030000}"/>
    <cellStyle name="Note 4 2 2 2 2" xfId="848" xr:uid="{00000000-0005-0000-0000-000037030000}"/>
    <cellStyle name="Note 4 2 2 2 2 2" xfId="1674" xr:uid="{674390B6-5B11-4915-8BA3-34BBACC98F81}"/>
    <cellStyle name="Note 4 2 2 2 2 2 2" xfId="5806" xr:uid="{717BF4EA-3AF9-4CB0-A4B4-90CC5872AE14}"/>
    <cellStyle name="Note 4 2 2 2 2 3" xfId="2502" xr:uid="{94A74169-3C2C-4454-A0AE-91DD5EAC0BF6}"/>
    <cellStyle name="Note 4 2 2 2 2 3 2" xfId="6633" xr:uid="{3B68B652-43F2-4254-AFC1-9E0FB045CDE8}"/>
    <cellStyle name="Note 4 2 2 2 2 4" xfId="3326" xr:uid="{B3FBA828-1EF0-4807-84B4-2CBAFB531C11}"/>
    <cellStyle name="Note 4 2 2 2 2 4 2" xfId="7457" xr:uid="{9DD53544-9D7C-4090-B262-ECC86D9E0EC2}"/>
    <cellStyle name="Note 4 2 2 2 2 5" xfId="4150" xr:uid="{22EBEF49-34E7-46F1-8281-25C9C4A22D5C}"/>
    <cellStyle name="Note 4 2 2 2 2 5 2" xfId="8309" xr:uid="{7BCA5CC6-08FB-47BC-B3AF-DF9877ACF063}"/>
    <cellStyle name="Note 4 2 2 2 2 6" xfId="4980" xr:uid="{2F31117A-BE3F-4B8C-B838-CED6FF45D131}"/>
    <cellStyle name="Note 4 2 2 2 2 7" xfId="9156" xr:uid="{953EA8EF-F618-4F35-8BDA-9213FD521F4D}"/>
    <cellStyle name="Note 4 2 2 2 3" xfId="1257" xr:uid="{C89DC7C9-3E26-410F-BE17-1E019CDB726E}"/>
    <cellStyle name="Note 4 2 2 2 3 2" xfId="5389" xr:uid="{5B0E5FDF-B4F3-4556-A20F-30250B3CF727}"/>
    <cellStyle name="Note 4 2 2 2 4" xfId="2085" xr:uid="{8174BFB5-5EB2-43BE-85D7-9A92D31201C7}"/>
    <cellStyle name="Note 4 2 2 2 4 2" xfId="6216" xr:uid="{98077928-CA30-417E-A094-5275500BE5B2}"/>
    <cellStyle name="Note 4 2 2 2 5" xfId="2909" xr:uid="{6F53CDE0-CC54-459B-ACF7-ABD5F4210414}"/>
    <cellStyle name="Note 4 2 2 2 5 2" xfId="7040" xr:uid="{724E022A-B0FA-4D78-9D9F-DB24EA96FA1B}"/>
    <cellStyle name="Note 4 2 2 2 6" xfId="3733" xr:uid="{75301732-DC9F-4AE6-A050-6D4A296D0460}"/>
    <cellStyle name="Note 4 2 2 2 6 2" xfId="7892" xr:uid="{0BF116AB-A6FE-4322-A95B-BE21F53B2E79}"/>
    <cellStyle name="Note 4 2 2 2 7" xfId="4563" xr:uid="{17841202-A7AB-410B-84EC-3F2416477402}"/>
    <cellStyle name="Note 4 2 2 2 8" xfId="8739" xr:uid="{20FE8EA5-2B6A-4AF5-BFCB-6BC78292769F}"/>
    <cellStyle name="Note 4 2 2 3" xfId="640" xr:uid="{00000000-0005-0000-0000-000038030000}"/>
    <cellStyle name="Note 4 2 2 3 2" xfId="1466" xr:uid="{D28FA1C1-C41D-4017-B42D-975C4C85BC84}"/>
    <cellStyle name="Note 4 2 2 3 2 2" xfId="5598" xr:uid="{3FB3B2D1-C1EA-4A1B-8059-E8B60AC11084}"/>
    <cellStyle name="Note 4 2 2 3 3" xfId="2294" xr:uid="{AE12CEC4-A439-4C82-9FDC-4AC1DAF0BC45}"/>
    <cellStyle name="Note 4 2 2 3 3 2" xfId="6425" xr:uid="{5B999776-7E54-42A9-9B92-6D9D34BB638C}"/>
    <cellStyle name="Note 4 2 2 3 4" xfId="3118" xr:uid="{165B3AAF-5507-4586-91E8-FB98F2419234}"/>
    <cellStyle name="Note 4 2 2 3 4 2" xfId="7249" xr:uid="{9E0B8052-FAF4-4B87-AD2F-9BA9F3FD6FF8}"/>
    <cellStyle name="Note 4 2 2 3 5" xfId="3942" xr:uid="{4D2AC110-3B51-4EDD-9F44-35444CC408CB}"/>
    <cellStyle name="Note 4 2 2 3 5 2" xfId="8101" xr:uid="{5A32222C-A12D-4DA4-8C6A-665D1C385D67}"/>
    <cellStyle name="Note 4 2 2 3 6" xfId="4772" xr:uid="{74CFDC08-F8B6-427A-82E5-995A20B9C42B}"/>
    <cellStyle name="Note 4 2 2 3 7" xfId="8948" xr:uid="{E9F72434-8306-473C-968B-EE31ADB001F9}"/>
    <cellStyle name="Note 4 2 2 4" xfId="1048" xr:uid="{CF5AAD7D-941F-44AD-9015-FEE591419F96}"/>
    <cellStyle name="Note 4 2 2 4 2" xfId="5180" xr:uid="{AA01365F-E21F-46FA-92DD-3184ACC8F9BA}"/>
    <cellStyle name="Note 4 2 2 5" xfId="1876" xr:uid="{7872D9B9-9822-4B2A-8BE2-6A3933B327F0}"/>
    <cellStyle name="Note 4 2 2 5 2" xfId="6007" xr:uid="{87BCBDEB-EC0A-464F-8127-4C14346F0B97}"/>
    <cellStyle name="Note 4 2 2 6" xfId="2700" xr:uid="{82F9D4B1-3054-4701-AB39-BE3CFD9A71BF}"/>
    <cellStyle name="Note 4 2 2 6 2" xfId="6831" xr:uid="{0511653D-8BB9-41BE-A85E-5553946347F9}"/>
    <cellStyle name="Note 4 2 2 7" xfId="3524" xr:uid="{0DB18542-1299-4FDC-82AD-03B681C29871}"/>
    <cellStyle name="Note 4 2 2 7 2" xfId="7683" xr:uid="{701C8F69-E7BE-4AB2-B7E0-778C5FDAEA23}"/>
    <cellStyle name="Note 4 2 2 8" xfId="4354" xr:uid="{3AEC8259-5BF8-4426-B3E5-2BCFE8DD320E}"/>
    <cellStyle name="Note 4 2 2 9" xfId="8530" xr:uid="{9F1E9BCD-3D62-42C6-A66B-208A81CD91CB}"/>
    <cellStyle name="Note 4 2 3" xfId="327" xr:uid="{00000000-0005-0000-0000-000039030000}"/>
    <cellStyle name="Note 4 2 3 2" xfId="744" xr:uid="{00000000-0005-0000-0000-00003A030000}"/>
    <cellStyle name="Note 4 2 3 2 2" xfId="1570" xr:uid="{DA03FC2C-D32C-46BD-8A3C-95C3CE34058D}"/>
    <cellStyle name="Note 4 2 3 2 2 2" xfId="5702" xr:uid="{124285B2-AA37-4857-A7DF-807EBE602CEB}"/>
    <cellStyle name="Note 4 2 3 2 3" xfId="2398" xr:uid="{553F5B46-C808-49FA-890B-F84E3AA99AD1}"/>
    <cellStyle name="Note 4 2 3 2 3 2" xfId="6529" xr:uid="{D68B8BE8-1AEB-4BA0-BAD2-EA1375BE0628}"/>
    <cellStyle name="Note 4 2 3 2 4" xfId="3222" xr:uid="{AA3D25C9-AD0E-4354-9A7E-2835DAB4C732}"/>
    <cellStyle name="Note 4 2 3 2 4 2" xfId="7353" xr:uid="{ED8994C5-0A5C-4A7D-B4EC-3E85737BC3AB}"/>
    <cellStyle name="Note 4 2 3 2 5" xfId="4046" xr:uid="{EC6498B2-411D-487C-A457-541FAB11D7F0}"/>
    <cellStyle name="Note 4 2 3 2 5 2" xfId="8205" xr:uid="{9C32F126-8182-47D3-8C72-460ADC930CE6}"/>
    <cellStyle name="Note 4 2 3 2 6" xfId="4876" xr:uid="{8C88C07C-EB1C-4392-A1BE-B29393AB8F92}"/>
    <cellStyle name="Note 4 2 3 2 7" xfId="9052" xr:uid="{F60915AB-0853-4534-91FD-EC862AEDCD89}"/>
    <cellStyle name="Note 4 2 3 3" xfId="1153" xr:uid="{4A5D22E6-F428-4D74-87C9-F6361D21CCA8}"/>
    <cellStyle name="Note 4 2 3 3 2" xfId="5285" xr:uid="{871CF1A1-16B7-469F-805E-B6B044995641}"/>
    <cellStyle name="Note 4 2 3 4" xfId="1981" xr:uid="{9BACDD61-3E1C-49A8-957B-57810C2F4AA8}"/>
    <cellStyle name="Note 4 2 3 4 2" xfId="6112" xr:uid="{DE3DF14B-2922-47F6-8A78-7E1164014A00}"/>
    <cellStyle name="Note 4 2 3 5" xfId="2805" xr:uid="{D7FEE654-AA97-4362-9EC7-8B0D8C612D08}"/>
    <cellStyle name="Note 4 2 3 5 2" xfId="6936" xr:uid="{89A3780C-FD70-40D2-ACAC-10219355B3CE}"/>
    <cellStyle name="Note 4 2 3 6" xfId="3629" xr:uid="{A67DB67A-9C49-4FD5-8379-0D313892F951}"/>
    <cellStyle name="Note 4 2 3 6 2" xfId="7788" xr:uid="{4FCD2163-D68F-4F5E-8183-57BD2BB44EDF}"/>
    <cellStyle name="Note 4 2 3 7" xfId="4459" xr:uid="{D53E190B-E4C8-4CAD-BAE7-71F9312768C4}"/>
    <cellStyle name="Note 4 2 3 8" xfId="8635" xr:uid="{99443BE0-7DC9-4367-B5DE-E93841FBBBF7}"/>
    <cellStyle name="Note 4 2 4" xfId="536" xr:uid="{00000000-0005-0000-0000-00003B030000}"/>
    <cellStyle name="Note 4 2 4 2" xfId="1362" xr:uid="{B5929441-A643-4051-9C02-1FB14074F48F}"/>
    <cellStyle name="Note 4 2 4 2 2" xfId="5494" xr:uid="{BD14D27E-2A60-448F-84D8-18F07F52E72D}"/>
    <cellStyle name="Note 4 2 4 3" xfId="2190" xr:uid="{2A99E6B2-5A6F-4405-A2C1-C52FE2CF0307}"/>
    <cellStyle name="Note 4 2 4 3 2" xfId="6321" xr:uid="{684A4BB7-11B7-456A-A8E3-F8B85EF023CA}"/>
    <cellStyle name="Note 4 2 4 4" xfId="3014" xr:uid="{8DE42EE6-E240-438C-9129-B1E175FF7127}"/>
    <cellStyle name="Note 4 2 4 4 2" xfId="7145" xr:uid="{E173D379-7401-48B6-BD2D-E6AD695E59E1}"/>
    <cellStyle name="Note 4 2 4 5" xfId="3838" xr:uid="{DCB112B8-ADD9-4BBC-8482-820A2C0960DD}"/>
    <cellStyle name="Note 4 2 4 5 2" xfId="7997" xr:uid="{C794D2A6-859E-4D95-A9D2-CC43893DF5DB}"/>
    <cellStyle name="Note 4 2 4 6" xfId="4668" xr:uid="{9BF44D2A-0D54-451F-B94E-D648CDF86C55}"/>
    <cellStyle name="Note 4 2 4 7" xfId="8844" xr:uid="{E5712080-CAF2-42C6-8945-40360D47008D}"/>
    <cellStyle name="Note 4 2 5" xfId="943" xr:uid="{1A7CCCFA-3872-4706-A28E-591116DE46AA}"/>
    <cellStyle name="Note 4 2 5 2" xfId="5075" xr:uid="{F662E1A9-03B0-415E-8EE7-F418B69F1B6D}"/>
    <cellStyle name="Note 4 2 6" xfId="1771" xr:uid="{ED9ED50E-08C6-4734-A7AF-1A252E04AB3F}"/>
    <cellStyle name="Note 4 2 6 2" xfId="5902" xr:uid="{375EB100-2D4C-4121-8514-2FC5C14AF766}"/>
    <cellStyle name="Note 4 2 7" xfId="2595" xr:uid="{59BE6AB0-502A-40A2-B592-8DC59DEE8FCC}"/>
    <cellStyle name="Note 4 2 7 2" xfId="6726" xr:uid="{67562A21-657A-45B7-837E-C77AD8D0D901}"/>
    <cellStyle name="Note 4 2 8" xfId="3419" xr:uid="{13F1ADD3-41CA-4D17-B590-3DBBC63AA951}"/>
    <cellStyle name="Note 4 2 8 2" xfId="7578" xr:uid="{09807744-3C5A-4C4B-9FBA-CC6DF80821F8}"/>
    <cellStyle name="Note 4 2 9" xfId="4249" xr:uid="{FCA29A43-A190-443B-86F8-30FF30ADA44A}"/>
    <cellStyle name="Note 4 3" xfId="170" xr:uid="{00000000-0005-0000-0000-00003C030000}"/>
    <cellStyle name="Note 4 3 2" xfId="379" xr:uid="{00000000-0005-0000-0000-00003D030000}"/>
    <cellStyle name="Note 4 3 2 2" xfId="796" xr:uid="{00000000-0005-0000-0000-00003E030000}"/>
    <cellStyle name="Note 4 3 2 2 2" xfId="1622" xr:uid="{0942DE3D-C691-4CBB-B196-890C21372C51}"/>
    <cellStyle name="Note 4 3 2 2 2 2" xfId="5754" xr:uid="{CAE7033D-DA7E-4014-9503-BF78D678DE3E}"/>
    <cellStyle name="Note 4 3 2 2 3" xfId="2450" xr:uid="{43D2E517-2D1D-4F9E-86EE-C077DEE0FB7F}"/>
    <cellStyle name="Note 4 3 2 2 3 2" xfId="6581" xr:uid="{77ACC807-291D-4990-B0D2-0646DC7460E1}"/>
    <cellStyle name="Note 4 3 2 2 4" xfId="3274" xr:uid="{69448A75-2EA1-49B9-9C6C-7AC6EB8150F6}"/>
    <cellStyle name="Note 4 3 2 2 4 2" xfId="7405" xr:uid="{4CDE81E5-A96B-4456-A1E1-7C834D8A81F4}"/>
    <cellStyle name="Note 4 3 2 2 5" xfId="4098" xr:uid="{0179D5F6-B176-4E1B-874B-D9F7AD7ABF4F}"/>
    <cellStyle name="Note 4 3 2 2 5 2" xfId="8257" xr:uid="{08195829-1065-47A0-831B-22C106D012AF}"/>
    <cellStyle name="Note 4 3 2 2 6" xfId="4928" xr:uid="{FD1697AA-C8A7-40D1-A28E-E1A83B002A2E}"/>
    <cellStyle name="Note 4 3 2 2 7" xfId="9104" xr:uid="{9E4C045F-A5C9-458F-8DCD-E33ADC412580}"/>
    <cellStyle name="Note 4 3 2 3" xfId="1205" xr:uid="{F608E3E2-6571-4DA4-BA33-641031E0A5B8}"/>
    <cellStyle name="Note 4 3 2 3 2" xfId="5337" xr:uid="{8FD543FA-2C69-4713-B21A-1F01A1AF892E}"/>
    <cellStyle name="Note 4 3 2 4" xfId="2033" xr:uid="{4A8456E0-AF6D-4362-B52E-67A412B3F05D}"/>
    <cellStyle name="Note 4 3 2 4 2" xfId="6164" xr:uid="{9B9862EC-50BD-4296-AFE3-2A16BBFE6C71}"/>
    <cellStyle name="Note 4 3 2 5" xfId="2857" xr:uid="{CEE07FFB-5415-4804-9242-9952C1DB6584}"/>
    <cellStyle name="Note 4 3 2 5 2" xfId="6988" xr:uid="{BE211751-034E-454A-8DF6-C0C21AF7A1B0}"/>
    <cellStyle name="Note 4 3 2 6" xfId="3681" xr:uid="{BB576399-A965-4276-BFD2-EB7F03042FEE}"/>
    <cellStyle name="Note 4 3 2 6 2" xfId="7840" xr:uid="{1AE869A8-640E-4E36-85EA-9285FE934BAE}"/>
    <cellStyle name="Note 4 3 2 7" xfId="4511" xr:uid="{92D5205C-FF49-4A0E-8964-9A12D58AB298}"/>
    <cellStyle name="Note 4 3 2 8" xfId="8687" xr:uid="{11CCA6C7-425A-49C2-ADE8-5DF34B86D65E}"/>
    <cellStyle name="Note 4 3 3" xfId="588" xr:uid="{00000000-0005-0000-0000-00003F030000}"/>
    <cellStyle name="Note 4 3 3 2" xfId="1414" xr:uid="{22A17B29-26BA-44CC-B05A-4476F4131C5D}"/>
    <cellStyle name="Note 4 3 3 2 2" xfId="5546" xr:uid="{D1731356-377D-4985-A228-3B8298A32866}"/>
    <cellStyle name="Note 4 3 3 3" xfId="2242" xr:uid="{55DFB6D3-04EE-4FA8-AD29-07FDC90B3885}"/>
    <cellStyle name="Note 4 3 3 3 2" xfId="6373" xr:uid="{8DCE9ABE-8A2E-42F9-8B76-89A00B515722}"/>
    <cellStyle name="Note 4 3 3 4" xfId="3066" xr:uid="{4112DAB6-CE7F-4D16-9A29-4C2633C11E77}"/>
    <cellStyle name="Note 4 3 3 4 2" xfId="7197" xr:uid="{48940A98-BFDF-4B87-BC65-008593B47E9C}"/>
    <cellStyle name="Note 4 3 3 5" xfId="3890" xr:uid="{7AD8E56A-F95B-4C23-92C3-F2A5A3A168DD}"/>
    <cellStyle name="Note 4 3 3 5 2" xfId="8049" xr:uid="{B907D6BF-2D79-46E6-A6FB-10B44A282080}"/>
    <cellStyle name="Note 4 3 3 6" xfId="4720" xr:uid="{83346622-DE00-46A9-A043-5AE1A751AA9D}"/>
    <cellStyle name="Note 4 3 3 7" xfId="8896" xr:uid="{0ADB619B-C4B9-4FD8-A77C-F62735B097DE}"/>
    <cellStyle name="Note 4 3 4" xfId="996" xr:uid="{F14A74BA-5CF5-49E9-B97C-577E3A9E853B}"/>
    <cellStyle name="Note 4 3 4 2" xfId="5128" xr:uid="{DBC964D0-7719-44E5-8B3F-FA0579C02B79}"/>
    <cellStyle name="Note 4 3 5" xfId="1824" xr:uid="{1B40EDF4-495C-47C8-8441-364CD56864AC}"/>
    <cellStyle name="Note 4 3 5 2" xfId="5955" xr:uid="{004CEEA7-0D89-4A7C-B22C-E6C84129E927}"/>
    <cellStyle name="Note 4 3 6" xfId="2648" xr:uid="{5FAD6D95-6FE4-46E4-9655-CDA7E7AFD65C}"/>
    <cellStyle name="Note 4 3 6 2" xfId="6779" xr:uid="{804F1AE9-395C-48EB-A17A-214B970D8BCC}"/>
    <cellStyle name="Note 4 3 7" xfId="3472" xr:uid="{B5638B85-90FC-43C0-A8F6-6B115D646EDB}"/>
    <cellStyle name="Note 4 3 7 2" xfId="7631" xr:uid="{9EB5F881-F88F-411E-A1B8-F3F346707C6E}"/>
    <cellStyle name="Note 4 3 8" xfId="4302" xr:uid="{D4B98AAE-C617-4B9E-BC2B-8B63C0978153}"/>
    <cellStyle name="Note 4 3 9" xfId="8478" xr:uid="{4C34EB77-89F0-48E3-8C56-4E2BC2AD7994}"/>
    <cellStyle name="Note 4 4" xfId="275" xr:uid="{00000000-0005-0000-0000-000040030000}"/>
    <cellStyle name="Note 4 4 2" xfId="692" xr:uid="{00000000-0005-0000-0000-000041030000}"/>
    <cellStyle name="Note 4 4 2 2" xfId="1518" xr:uid="{EBDD566A-BD1B-4DCE-A2E2-2D01773153E7}"/>
    <cellStyle name="Note 4 4 2 2 2" xfId="5650" xr:uid="{65805A55-3A01-4790-83C4-03D5C6AEEC4C}"/>
    <cellStyle name="Note 4 4 2 3" xfId="2346" xr:uid="{855555B5-4FA7-4B24-9D3D-39DD4FB84196}"/>
    <cellStyle name="Note 4 4 2 3 2" xfId="6477" xr:uid="{2ACF3197-5ED8-4513-BEE9-D1CF91510E4C}"/>
    <cellStyle name="Note 4 4 2 4" xfId="3170" xr:uid="{F30668D4-8C94-4472-8F73-D9CF460031C9}"/>
    <cellStyle name="Note 4 4 2 4 2" xfId="7301" xr:uid="{B67B559B-8F37-4F82-AB45-A758DA900F17}"/>
    <cellStyle name="Note 4 4 2 5" xfId="3994" xr:uid="{C7356EEB-82C8-4995-AF4D-13BB94BD8625}"/>
    <cellStyle name="Note 4 4 2 5 2" xfId="8153" xr:uid="{604561FE-42E0-458E-85ED-B313C0C9E554}"/>
    <cellStyle name="Note 4 4 2 6" xfId="4824" xr:uid="{0AE9B8D9-A179-43CC-81C4-CC0AA05E867B}"/>
    <cellStyle name="Note 4 4 2 7" xfId="9000" xr:uid="{714E6F1E-665C-41B0-B86A-06A78E6CE711}"/>
    <cellStyle name="Note 4 4 3" xfId="1101" xr:uid="{2F96E970-FC7F-4F03-A065-04C327C119CC}"/>
    <cellStyle name="Note 4 4 3 2" xfId="5233" xr:uid="{AD47E7B0-E86B-47B4-8D8B-089B9385480F}"/>
    <cellStyle name="Note 4 4 4" xfId="1929" xr:uid="{5EBE3BAF-7C8C-4FAF-A150-C07791B985EE}"/>
    <cellStyle name="Note 4 4 4 2" xfId="6060" xr:uid="{AF218AC3-27A3-43F6-B1CE-B76DFA077E70}"/>
    <cellStyle name="Note 4 4 5" xfId="2753" xr:uid="{695AED6A-2092-4AE5-B5AE-11A8E7B24FC3}"/>
    <cellStyle name="Note 4 4 5 2" xfId="6884" xr:uid="{E3002F6E-1E87-467B-809B-22AFC8040CBC}"/>
    <cellStyle name="Note 4 4 6" xfId="3577" xr:uid="{635543F1-1579-4FBC-833F-10F4F8529D2F}"/>
    <cellStyle name="Note 4 4 6 2" xfId="7736" xr:uid="{6381C090-AAEF-43AC-9C3F-1A64FE8CE897}"/>
    <cellStyle name="Note 4 4 7" xfId="4407" xr:uid="{B7D3F6C2-3763-44E7-963E-A200A5AF9DF2}"/>
    <cellStyle name="Note 4 4 8" xfId="8583" xr:uid="{BEDD211E-922C-433E-A036-8CD05F41A532}"/>
    <cellStyle name="Note 4 5" xfId="484" xr:uid="{00000000-0005-0000-0000-000042030000}"/>
    <cellStyle name="Note 4 5 2" xfId="1310" xr:uid="{0066AAFC-78EE-4EED-BEC7-DA997FD1EBC3}"/>
    <cellStyle name="Note 4 5 2 2" xfId="5442" xr:uid="{E5266A7B-F820-4119-8083-FF450CF0C62A}"/>
    <cellStyle name="Note 4 5 3" xfId="2138" xr:uid="{C7E84710-D072-4D61-942D-B1AAC15C6D71}"/>
    <cellStyle name="Note 4 5 3 2" xfId="6269" xr:uid="{D4611BE7-3465-44AA-8ECC-450E834B5E65}"/>
    <cellStyle name="Note 4 5 4" xfId="2962" xr:uid="{253D15D3-0E0A-438A-9C3A-3D698ADE210B}"/>
    <cellStyle name="Note 4 5 4 2" xfId="7093" xr:uid="{30B42F13-DB37-4802-B225-7E5521956124}"/>
    <cellStyle name="Note 4 5 5" xfId="3786" xr:uid="{7D53F933-9635-4668-8F6C-36634A56E048}"/>
    <cellStyle name="Note 4 5 5 2" xfId="7945" xr:uid="{D7F4C8BA-06EF-4C66-99F7-5E62555B2CC4}"/>
    <cellStyle name="Note 4 5 6" xfId="4616" xr:uid="{6B5A102C-1BBE-482F-AA66-F6DC8897FE2A}"/>
    <cellStyle name="Note 4 5 7" xfId="8792" xr:uid="{737A3E43-7FFB-4089-87AC-6FFDD94418D0}"/>
    <cellStyle name="Note 4 6" xfId="890" xr:uid="{3C46D09B-AD22-446E-B290-8F27F09E7C6B}"/>
    <cellStyle name="Note 4 6 2" xfId="5022" xr:uid="{60835D26-E2C9-487B-BED0-A2163C3157C0}"/>
    <cellStyle name="Note 4 7" xfId="1718" xr:uid="{79101682-5CFD-4529-9D3A-F83E3E73176E}"/>
    <cellStyle name="Note 4 7 2" xfId="5849" xr:uid="{CC60BFF6-870C-46CD-9B3C-88DD8CCB97E8}"/>
    <cellStyle name="Note 4 8" xfId="2542" xr:uid="{D8098A46-DCFD-4902-9555-83A4DBBD47ED}"/>
    <cellStyle name="Note 4 8 2" xfId="6673" xr:uid="{E9996631-B8E2-48D6-8BB1-3DA2000AB6BA}"/>
    <cellStyle name="Note 4 9" xfId="3366" xr:uid="{FD44683E-369A-4DB0-9B16-65DE88067AA2}"/>
    <cellStyle name="Note 4 9 2" xfId="7525" xr:uid="{14CE0836-E996-4A7E-A72F-10D7C4181AD9}"/>
    <cellStyle name="Note 5" xfId="77" xr:uid="{00000000-0005-0000-0000-000043030000}"/>
    <cellStyle name="Note 5 10" xfId="8385" xr:uid="{DCF1C591-1DD2-44E3-B5C8-FFC20D242DBD}"/>
    <cellStyle name="Note 5 2" xfId="183" xr:uid="{00000000-0005-0000-0000-000044030000}"/>
    <cellStyle name="Note 5 2 2" xfId="392" xr:uid="{00000000-0005-0000-0000-000045030000}"/>
    <cellStyle name="Note 5 2 2 2" xfId="809" xr:uid="{00000000-0005-0000-0000-000046030000}"/>
    <cellStyle name="Note 5 2 2 2 2" xfId="1635" xr:uid="{F8E15F15-B822-4791-BFFF-DA98EC0497D4}"/>
    <cellStyle name="Note 5 2 2 2 2 2" xfId="5767" xr:uid="{4F72BE3C-7985-4AF4-9F06-F345DD125A64}"/>
    <cellStyle name="Note 5 2 2 2 3" xfId="2463" xr:uid="{7C9EBC5B-E6FF-487C-9577-4C39A833B72F}"/>
    <cellStyle name="Note 5 2 2 2 3 2" xfId="6594" xr:uid="{EBBD763E-4409-414A-8873-1FB203197BD0}"/>
    <cellStyle name="Note 5 2 2 2 4" xfId="3287" xr:uid="{BE938229-C7C2-4D1D-A1B3-B886FA38D186}"/>
    <cellStyle name="Note 5 2 2 2 4 2" xfId="7418" xr:uid="{18A1AC5E-AFB3-471B-9414-49D2F14168BB}"/>
    <cellStyle name="Note 5 2 2 2 5" xfId="4111" xr:uid="{2581C5E1-0798-4229-9C02-602A8C01C738}"/>
    <cellStyle name="Note 5 2 2 2 5 2" xfId="8270" xr:uid="{8CEADC13-7BF3-404E-B415-B5D8EF4DD553}"/>
    <cellStyle name="Note 5 2 2 2 6" xfId="4941" xr:uid="{8832FB93-488D-4CD4-A712-B5D346BA75B6}"/>
    <cellStyle name="Note 5 2 2 2 7" xfId="9117" xr:uid="{5CB48D9F-8392-48F6-B667-159D2A5AE10C}"/>
    <cellStyle name="Note 5 2 2 3" xfId="1218" xr:uid="{596AD1B7-86F2-4395-A7D9-DBBA38018350}"/>
    <cellStyle name="Note 5 2 2 3 2" xfId="5350" xr:uid="{14D822D6-E33F-44E5-9212-6EE07E123ED4}"/>
    <cellStyle name="Note 5 2 2 4" xfId="2046" xr:uid="{364F43C2-1378-4945-84D8-EC57B721B5B7}"/>
    <cellStyle name="Note 5 2 2 4 2" xfId="6177" xr:uid="{91FD80F7-B0C9-4014-8D0A-F466FBC4C6C2}"/>
    <cellStyle name="Note 5 2 2 5" xfId="2870" xr:uid="{67D302E4-8EDC-4551-B385-0A2883A2D357}"/>
    <cellStyle name="Note 5 2 2 5 2" xfId="7001" xr:uid="{74A9EB5C-A788-4776-8A31-EAE174419887}"/>
    <cellStyle name="Note 5 2 2 6" xfId="3694" xr:uid="{5DFB84D3-86E6-435D-8A76-09E26B03B1F4}"/>
    <cellStyle name="Note 5 2 2 6 2" xfId="7853" xr:uid="{A6BDAC3D-AEBE-475F-8B43-D6E7184ADC8F}"/>
    <cellStyle name="Note 5 2 2 7" xfId="4524" xr:uid="{01EF9BF0-BC30-4EBD-B631-59D0C5EB07BB}"/>
    <cellStyle name="Note 5 2 2 8" xfId="8700" xr:uid="{0FCFA1A3-5814-4C42-B0A4-DD5C86566E31}"/>
    <cellStyle name="Note 5 2 3" xfId="601" xr:uid="{00000000-0005-0000-0000-000047030000}"/>
    <cellStyle name="Note 5 2 3 2" xfId="1427" xr:uid="{61DAD628-6BAF-4468-A530-D2C71C1D967A}"/>
    <cellStyle name="Note 5 2 3 2 2" xfId="5559" xr:uid="{0C044645-726E-4114-A7F5-AC668FA502F8}"/>
    <cellStyle name="Note 5 2 3 3" xfId="2255" xr:uid="{2B53AC06-0A20-4A11-9C86-669F104604AF}"/>
    <cellStyle name="Note 5 2 3 3 2" xfId="6386" xr:uid="{876A2DF5-1898-447F-A37B-17D66CF36024}"/>
    <cellStyle name="Note 5 2 3 4" xfId="3079" xr:uid="{A04385D1-004F-4ECC-9E8C-CF15A3FACA78}"/>
    <cellStyle name="Note 5 2 3 4 2" xfId="7210" xr:uid="{5EBE128E-1E53-42E7-817E-73EBF80955B7}"/>
    <cellStyle name="Note 5 2 3 5" xfId="3903" xr:uid="{8F33CCBC-36E0-492A-9A1E-FE260E290C44}"/>
    <cellStyle name="Note 5 2 3 5 2" xfId="8062" xr:uid="{E983047E-90C1-433F-BAEA-18C42AF61808}"/>
    <cellStyle name="Note 5 2 3 6" xfId="4733" xr:uid="{9B7B2E5D-B221-4051-8CD8-7D44B0A81814}"/>
    <cellStyle name="Note 5 2 3 7" xfId="8909" xr:uid="{63DA4ECA-9E38-4B0A-81E6-C8D19EF2993E}"/>
    <cellStyle name="Note 5 2 4" xfId="1009" xr:uid="{7351FBA1-FA1E-4695-80D2-A46D4C4A110A}"/>
    <cellStyle name="Note 5 2 4 2" xfId="5141" xr:uid="{0200BEB3-C7C7-4EB1-9C48-4097653D1C02}"/>
    <cellStyle name="Note 5 2 5" xfId="1837" xr:uid="{7E8A1B96-B9CB-410D-B6E8-85B7E9B1C42E}"/>
    <cellStyle name="Note 5 2 5 2" xfId="5968" xr:uid="{AB52CFA0-D27A-4459-B3EE-37BE0D9A263D}"/>
    <cellStyle name="Note 5 2 6" xfId="2661" xr:uid="{AC3E0314-0FDF-4BFC-9C04-63C860A97157}"/>
    <cellStyle name="Note 5 2 6 2" xfId="6792" xr:uid="{27013993-F21A-4826-8E9B-54FE3158C83B}"/>
    <cellStyle name="Note 5 2 7" xfId="3485" xr:uid="{BD15240C-994B-423D-BFC8-0AAD8EA55472}"/>
    <cellStyle name="Note 5 2 7 2" xfId="7644" xr:uid="{5452A660-7061-4DBD-BDA5-5DBDF65CE181}"/>
    <cellStyle name="Note 5 2 8" xfId="4315" xr:uid="{16C7CB92-0095-4049-9476-AB847F99D526}"/>
    <cellStyle name="Note 5 2 9" xfId="8491" xr:uid="{0D4222B3-4706-46D4-9199-F13B7871FA50}"/>
    <cellStyle name="Note 5 3" xfId="288" xr:uid="{00000000-0005-0000-0000-000048030000}"/>
    <cellStyle name="Note 5 3 2" xfId="705" xr:uid="{00000000-0005-0000-0000-000049030000}"/>
    <cellStyle name="Note 5 3 2 2" xfId="1531" xr:uid="{D57B9509-502C-437C-B4EA-8666968DECAC}"/>
    <cellStyle name="Note 5 3 2 2 2" xfId="5663" xr:uid="{6BD127C8-2A43-4E61-BA85-DFE76E491278}"/>
    <cellStyle name="Note 5 3 2 3" xfId="2359" xr:uid="{3E3520EB-9ACF-4367-B87F-BFBF7F9D63BB}"/>
    <cellStyle name="Note 5 3 2 3 2" xfId="6490" xr:uid="{A2196C5E-DE15-4170-864E-5613030F88D5}"/>
    <cellStyle name="Note 5 3 2 4" xfId="3183" xr:uid="{2D156F1C-AF43-4E1D-8089-B6DC351BB676}"/>
    <cellStyle name="Note 5 3 2 4 2" xfId="7314" xr:uid="{EABE0777-AD44-4D23-AE08-AD3819AC34D3}"/>
    <cellStyle name="Note 5 3 2 5" xfId="4007" xr:uid="{861549DC-4520-4342-BA29-A1360AF0E88B}"/>
    <cellStyle name="Note 5 3 2 5 2" xfId="8166" xr:uid="{0CF308CA-CA7B-4814-A0E0-63BC6CB1CB06}"/>
    <cellStyle name="Note 5 3 2 6" xfId="4837" xr:uid="{8E0C832E-DA5C-41D5-A2C0-FFFAE8CDE916}"/>
    <cellStyle name="Note 5 3 2 7" xfId="9013" xr:uid="{7892415A-8C9B-459E-9847-3604351A8FB1}"/>
    <cellStyle name="Note 5 3 3" xfId="1114" xr:uid="{79BED39F-67AB-400B-9075-DFF9497756D4}"/>
    <cellStyle name="Note 5 3 3 2" xfId="5246" xr:uid="{DEA14186-FFBA-4268-9646-82A82BC889EE}"/>
    <cellStyle name="Note 5 3 4" xfId="1942" xr:uid="{1BEBF15F-5DD7-4FAE-9098-358DCF8AA6DF}"/>
    <cellStyle name="Note 5 3 4 2" xfId="6073" xr:uid="{3AEA75D3-17B5-4B1B-A995-A21926CF69B8}"/>
    <cellStyle name="Note 5 3 5" xfId="2766" xr:uid="{85E033F1-99D4-4446-943E-8872C5B8E18A}"/>
    <cellStyle name="Note 5 3 5 2" xfId="6897" xr:uid="{B38C1DB7-4E05-40D9-B7A7-06C690B9E953}"/>
    <cellStyle name="Note 5 3 6" xfId="3590" xr:uid="{C04E6597-E81C-4BE6-B017-97FAF0009757}"/>
    <cellStyle name="Note 5 3 6 2" xfId="7749" xr:uid="{46B74AF0-0331-4C0D-B810-BFF001032131}"/>
    <cellStyle name="Note 5 3 7" xfId="4420" xr:uid="{5A85A6A3-CF34-45F4-B3DE-C4CAF7A6CAA8}"/>
    <cellStyle name="Note 5 3 8" xfId="8596" xr:uid="{59BDE21B-AF71-498B-AEF4-39D932917133}"/>
    <cellStyle name="Note 5 4" xfId="497" xr:uid="{00000000-0005-0000-0000-00004A030000}"/>
    <cellStyle name="Note 5 4 2" xfId="1323" xr:uid="{E5A2D2C0-7FCE-4942-88CD-27F58D5FDAC0}"/>
    <cellStyle name="Note 5 4 2 2" xfId="5455" xr:uid="{D5F7D065-E674-4609-BA4D-908B287EA74F}"/>
    <cellStyle name="Note 5 4 3" xfId="2151" xr:uid="{ECAC653C-A8F1-4EBE-ADC1-4CBA28EC037E}"/>
    <cellStyle name="Note 5 4 3 2" xfId="6282" xr:uid="{02D1F36E-ADD4-4A12-ABBA-29C5B8CC4F30}"/>
    <cellStyle name="Note 5 4 4" xfId="2975" xr:uid="{79C17B2E-0C50-4650-972A-3CAFCEF013F0}"/>
    <cellStyle name="Note 5 4 4 2" xfId="7106" xr:uid="{3F89EE0F-FEA3-404B-9315-9DC37F65F594}"/>
    <cellStyle name="Note 5 4 5" xfId="3799" xr:uid="{30B6ED1C-E3E4-4B14-9543-DA6E5E7D9AA9}"/>
    <cellStyle name="Note 5 4 5 2" xfId="7958" xr:uid="{51A496C4-5491-4885-BD14-8E7D13CC9F04}"/>
    <cellStyle name="Note 5 4 6" xfId="4629" xr:uid="{46C0F6BD-C9A9-497A-87D6-8D07BC3D9CF8}"/>
    <cellStyle name="Note 5 4 7" xfId="8805" xr:uid="{86236D38-0D09-4D4D-A9C3-075E914D7B62}"/>
    <cellStyle name="Note 5 5" xfId="903" xr:uid="{09CACF40-22E7-4EA6-AA3A-CA68C374C56E}"/>
    <cellStyle name="Note 5 5 2" xfId="5035" xr:uid="{E8504381-2F1B-4BD0-B9E5-6023D0FFDC88}"/>
    <cellStyle name="Note 5 6" xfId="1731" xr:uid="{B947C698-05AD-4FE0-8AD1-4100F5364678}"/>
    <cellStyle name="Note 5 6 2" xfId="5862" xr:uid="{00C8C769-C309-4233-B66A-446BB3C43A0B}"/>
    <cellStyle name="Note 5 7" xfId="2555" xr:uid="{7454CAA0-7AD1-453C-8EAA-7B5CC1B1031C}"/>
    <cellStyle name="Note 5 7 2" xfId="6686" xr:uid="{A24AEC18-5ADC-4859-A5B8-94CDFD683EA8}"/>
    <cellStyle name="Note 5 8" xfId="3379" xr:uid="{F0542509-344B-4D52-AE51-D8DF87F11F9B}"/>
    <cellStyle name="Note 5 8 2" xfId="7538" xr:uid="{C869736A-8E53-4A62-BF0F-5C8D234A6B2D}"/>
    <cellStyle name="Note 5 9" xfId="4209" xr:uid="{AE00A419-E8E2-4E22-8851-D9FF8F7201F9}"/>
    <cellStyle name="Note 6" xfId="130" xr:uid="{00000000-0005-0000-0000-00004B030000}"/>
    <cellStyle name="Note 6 2" xfId="340" xr:uid="{00000000-0005-0000-0000-00004C030000}"/>
    <cellStyle name="Note 6 2 2" xfId="757" xr:uid="{00000000-0005-0000-0000-00004D030000}"/>
    <cellStyle name="Note 6 2 2 2" xfId="1583" xr:uid="{6FCC9D1B-2E3C-4ADA-B41C-4A36DE4510AE}"/>
    <cellStyle name="Note 6 2 2 2 2" xfId="5715" xr:uid="{082DBA27-F084-453D-B3E0-24F59F43D6DE}"/>
    <cellStyle name="Note 6 2 2 3" xfId="2411" xr:uid="{87A5E119-D436-4688-B4AD-176646805FBE}"/>
    <cellStyle name="Note 6 2 2 3 2" xfId="6542" xr:uid="{E1E79E73-FC4A-44FC-A3B9-AEF616A4ABE7}"/>
    <cellStyle name="Note 6 2 2 4" xfId="3235" xr:uid="{D84836C8-012A-4711-AC52-553A79C1CE97}"/>
    <cellStyle name="Note 6 2 2 4 2" xfId="7366" xr:uid="{9A5FC070-F8A0-4F91-BAFE-7BACE3315C81}"/>
    <cellStyle name="Note 6 2 2 5" xfId="4059" xr:uid="{F7C50784-A969-4878-BD27-A97230362D49}"/>
    <cellStyle name="Note 6 2 2 5 2" xfId="8218" xr:uid="{FA1BDB17-7B1D-493A-96B0-CC13D57E5889}"/>
    <cellStyle name="Note 6 2 2 6" xfId="4889" xr:uid="{C4E505C6-42ED-4354-9667-F84808BBCE29}"/>
    <cellStyle name="Note 6 2 2 7" xfId="9065" xr:uid="{77AA89E1-49E8-4954-B1E9-EDF6AD38FD85}"/>
    <cellStyle name="Note 6 2 3" xfId="1166" xr:uid="{7294751E-E8F1-45D4-902B-FEB3BDAD79D9}"/>
    <cellStyle name="Note 6 2 3 2" xfId="5298" xr:uid="{2A2AEDD8-0307-4C74-83BA-A0580EB58B49}"/>
    <cellStyle name="Note 6 2 4" xfId="1994" xr:uid="{EA140E80-C7AE-471B-B8AB-0219BFC7699D}"/>
    <cellStyle name="Note 6 2 4 2" xfId="6125" xr:uid="{18D95B7D-F5DF-4772-9049-B904DB7A83F1}"/>
    <cellStyle name="Note 6 2 5" xfId="2818" xr:uid="{9D8E861E-BEB9-4E81-90D1-CB20985F4817}"/>
    <cellStyle name="Note 6 2 5 2" xfId="6949" xr:uid="{02A16F15-AD08-4999-BACE-C66CEFB277EB}"/>
    <cellStyle name="Note 6 2 6" xfId="3642" xr:uid="{EA872585-6CC7-4002-BF6E-7920A2A60F37}"/>
    <cellStyle name="Note 6 2 6 2" xfId="7801" xr:uid="{BE7F167D-F873-4B5A-A237-4997ACE1C0F2}"/>
    <cellStyle name="Note 6 2 7" xfId="4472" xr:uid="{20E9A527-A8E4-48F2-9281-FDE401A0F869}"/>
    <cellStyle name="Note 6 2 8" xfId="8648" xr:uid="{398816CC-2782-429F-9841-DA6CE55EA35B}"/>
    <cellStyle name="Note 6 3" xfId="549" xr:uid="{00000000-0005-0000-0000-00004E030000}"/>
    <cellStyle name="Note 6 3 2" xfId="1375" xr:uid="{0A70B96A-961A-4469-8242-0B6E38A758CB}"/>
    <cellStyle name="Note 6 3 2 2" xfId="5507" xr:uid="{532C6D00-6E30-490D-8302-59A16DD85BD0}"/>
    <cellStyle name="Note 6 3 3" xfId="2203" xr:uid="{FFE18A29-C10B-4FF3-A99A-84AA5A37E6BA}"/>
    <cellStyle name="Note 6 3 3 2" xfId="6334" xr:uid="{0DF4BB20-0683-49F2-8156-AD94EE39323D}"/>
    <cellStyle name="Note 6 3 4" xfId="3027" xr:uid="{C133B24F-B5D7-4ECC-9135-47C64B9DC931}"/>
    <cellStyle name="Note 6 3 4 2" xfId="7158" xr:uid="{F1202900-F7A0-4B43-8FC4-9268AF9BE4C6}"/>
    <cellStyle name="Note 6 3 5" xfId="3851" xr:uid="{901504B5-E52F-4EEC-AEFA-84DA717F0F0F}"/>
    <cellStyle name="Note 6 3 5 2" xfId="8010" xr:uid="{4FA71FCF-EB7C-471F-815A-289EAB635BC4}"/>
    <cellStyle name="Note 6 3 6" xfId="4681" xr:uid="{549BA7DC-9AF2-40A4-AD64-3F59A02FA14B}"/>
    <cellStyle name="Note 6 3 7" xfId="8857" xr:uid="{0D1DB79E-316B-4744-8008-E88527C16E7F}"/>
    <cellStyle name="Note 6 4" xfId="956" xr:uid="{DB631621-C7FD-4DC4-828A-83459D3D5A71}"/>
    <cellStyle name="Note 6 4 2" xfId="5088" xr:uid="{24943E59-31F7-48A0-9D06-1AC2F7C88727}"/>
    <cellStyle name="Note 6 5" xfId="1784" xr:uid="{6750F7FA-1B2B-4186-9CD9-60C4093C77B3}"/>
    <cellStyle name="Note 6 5 2" xfId="5915" xr:uid="{3280DF73-4564-418A-A5DF-253E8421DE85}"/>
    <cellStyle name="Note 6 6" xfId="2608" xr:uid="{4B19B28C-7055-4611-89BA-D21614F228A7}"/>
    <cellStyle name="Note 6 6 2" xfId="6739" xr:uid="{FCFD003B-E280-4E79-BF4D-9FE18A67BBCA}"/>
    <cellStyle name="Note 6 7" xfId="3432" xr:uid="{6EEDCB30-E279-4E0C-A7E4-3CF3BB90EA5B}"/>
    <cellStyle name="Note 6 7 2" xfId="7591" xr:uid="{4C2D89F7-F846-4F7E-8413-F0B77F8CA28B}"/>
    <cellStyle name="Note 6 8" xfId="4262" xr:uid="{CE64F24B-138E-4F97-9151-4CB73002F8D2}"/>
    <cellStyle name="Note 6 9" xfId="8438" xr:uid="{EF933969-5786-4B26-82C3-C8A62E5170C6}"/>
    <cellStyle name="Note 7" xfId="235" xr:uid="{00000000-0005-0000-0000-00004F030000}"/>
    <cellStyle name="Note 7 2" xfId="653" xr:uid="{00000000-0005-0000-0000-000050030000}"/>
    <cellStyle name="Note 7 2 2" xfId="1479" xr:uid="{57CA554F-CA3D-4E8C-ABF5-40595AA21A59}"/>
    <cellStyle name="Note 7 2 2 2" xfId="5611" xr:uid="{9D376263-519E-4DB7-96FD-89E8DA99CD96}"/>
    <cellStyle name="Note 7 2 3" xfId="2307" xr:uid="{07DBFEC1-4970-45BE-91B8-01575F7C1DF1}"/>
    <cellStyle name="Note 7 2 3 2" xfId="6438" xr:uid="{2E071292-1E87-4EA7-B6B6-48C3479FA258}"/>
    <cellStyle name="Note 7 2 4" xfId="3131" xr:uid="{852F086A-06EB-4186-94B0-214443248964}"/>
    <cellStyle name="Note 7 2 4 2" xfId="7262" xr:uid="{983DE3E2-FCFB-4504-88C4-65288CEFB103}"/>
    <cellStyle name="Note 7 2 5" xfId="3955" xr:uid="{3FC79D22-DE62-4441-B072-9DC89BC37A0A}"/>
    <cellStyle name="Note 7 2 5 2" xfId="8114" xr:uid="{DC89B079-6EBE-4AAD-A755-48323CB4852A}"/>
    <cellStyle name="Note 7 2 6" xfId="4785" xr:uid="{9042CAF5-A159-4BEF-8E7C-E0C3D3C19E6A}"/>
    <cellStyle name="Note 7 2 7" xfId="8961" xr:uid="{CD33AE85-90D9-484D-9737-B6A99D2285A9}"/>
    <cellStyle name="Note 7 3" xfId="1061" xr:uid="{CF3A1ECE-ABC2-4AF8-840B-02ED84C24B70}"/>
    <cellStyle name="Note 7 3 2" xfId="5193" xr:uid="{912BBA1D-4D14-429E-8A58-12908BBE4021}"/>
    <cellStyle name="Note 7 4" xfId="1889" xr:uid="{F2E2E18A-0498-4E8B-80BD-B5F9CE9EFCA5}"/>
    <cellStyle name="Note 7 4 2" xfId="6020" xr:uid="{4CBFE058-EC92-4947-BD35-D3C6CC92B229}"/>
    <cellStyle name="Note 7 5" xfId="2713" xr:uid="{2DA0ED3B-6F3D-4F6B-A870-5A0EB20D49CB}"/>
    <cellStyle name="Note 7 5 2" xfId="6844" xr:uid="{38EAD4F3-D169-4275-BEBE-F840BA041DB2}"/>
    <cellStyle name="Note 7 6" xfId="3537" xr:uid="{47CA36A7-EC0C-47DC-A4D8-C267F1C72C8C}"/>
    <cellStyle name="Note 7 6 2" xfId="7696" xr:uid="{E50910B0-30C5-4BBB-8839-561BF2AADE15}"/>
    <cellStyle name="Note 7 7" xfId="4367" xr:uid="{A94974D9-53EF-49C3-84EF-7D2CF81A0276}"/>
    <cellStyle name="Note 7 8" xfId="8543" xr:uid="{A1899985-CA0F-4D6D-8AD0-1977D628A9FA}"/>
    <cellStyle name="Note 8" xfId="444" xr:uid="{00000000-0005-0000-0000-000051030000}"/>
    <cellStyle name="Note 8 2" xfId="1270" xr:uid="{C697502C-B113-4511-B733-12A806557827}"/>
    <cellStyle name="Note 8 2 2" xfId="5402" xr:uid="{27F3A2F4-C295-403F-8D77-499E9F4C45E9}"/>
    <cellStyle name="Note 8 3" xfId="2098" xr:uid="{5DFA3DDC-968B-4C46-B188-D605A8413CC2}"/>
    <cellStyle name="Note 8 3 2" xfId="6229" xr:uid="{75D7215D-1DA5-47B5-B6A8-5045B99C6970}"/>
    <cellStyle name="Note 8 4" xfId="2922" xr:uid="{B4C781C8-363B-4DCF-8FDE-7C6AC024ED5F}"/>
    <cellStyle name="Note 8 4 2" xfId="7053" xr:uid="{FF842EE8-4D8A-4398-860E-6982B1BC12F4}"/>
    <cellStyle name="Note 8 5" xfId="3746" xr:uid="{D87C228A-7E51-4F1B-8670-36ED2DFCA0F5}"/>
    <cellStyle name="Note 8 5 2" xfId="7905" xr:uid="{41BD6D8A-DA94-41D6-A0F7-6A35860E4532}"/>
    <cellStyle name="Note 8 6" xfId="4576" xr:uid="{F81A41A7-822A-43E1-8D3D-8507D4B075A3}"/>
    <cellStyle name="Note 8 7" xfId="8752" xr:uid="{7FDA23C9-5035-464A-9D25-4BF15A4AE172}"/>
    <cellStyle name="Note 9" xfId="4164" xr:uid="{292CA1BE-ED68-471D-A744-DA96BE8DE098}"/>
    <cellStyle name="Note 9 2" xfId="4166" xr:uid="{6AACEAFD-FAA8-4E1B-8E71-67576DB9DF97}"/>
    <cellStyle name="Note 9 2 2" xfId="7496" xr:uid="{852003D1-13A7-4B8F-B043-902B71CBC258}"/>
    <cellStyle name="Note 9 3" xfId="7473" xr:uid="{E07FA73E-7566-4700-AA36-665B01F0865B}"/>
    <cellStyle name="Output" xfId="15" builtinId="21" customBuiltin="1"/>
    <cellStyle name="Percent" xfId="6" builtinId="5"/>
    <cellStyle name="Percent 10" xfId="8327" xr:uid="{497F8048-28E7-42C6-8A65-1A443B4ACF4F}"/>
    <cellStyle name="Percent 11" xfId="8331" xr:uid="{76684F8F-F69B-4B11-9232-EC2D265D92F0}"/>
    <cellStyle name="Percent 12" xfId="8335" xr:uid="{7EDFF057-DCF9-42C4-8725-3FDADBCF073C}"/>
    <cellStyle name="Percent 13" xfId="8339" xr:uid="{A47B5F7F-454A-4C8D-8D0C-7F3AA802A299}"/>
    <cellStyle name="Percent 14" xfId="8343" xr:uid="{AA3C27DC-E8C9-4DF4-AB2E-E3B526EE822C}"/>
    <cellStyle name="Percent 2" xfId="7472" xr:uid="{2875BF3F-E468-463E-8574-07916E65F6D9}"/>
    <cellStyle name="Percent 3" xfId="7476" xr:uid="{EFD3C012-C457-4CA2-9145-01F0D556F284}"/>
    <cellStyle name="Percent 4" xfId="7479" xr:uid="{694B3946-22BE-427B-BEAC-2D1737CA29F0}"/>
    <cellStyle name="Percent 5" xfId="7482" xr:uid="{E16081F1-028C-47DE-A12F-C91A91364BAA}"/>
    <cellStyle name="Percent 6" xfId="7485" xr:uid="{46446189-DBFC-48D5-BB8E-20C1F557C44B}"/>
    <cellStyle name="Percent 7" xfId="7488" xr:uid="{96BFA5EC-433D-47E2-964D-3E99FEBAB593}"/>
    <cellStyle name="Percent 8" xfId="7491" xr:uid="{4DC3F9D1-42E9-448A-8E75-9CCCDA0AA634}"/>
    <cellStyle name="Percent 9" xfId="7493" xr:uid="{04089BE1-DA93-4635-A460-5FC6547B0180}"/>
    <cellStyle name="Title 2" xfId="41" xr:uid="{00000000-0005-0000-0000-000068030000}"/>
    <cellStyle name="Total" xfId="21" builtinId="25" customBuiltin="1"/>
    <cellStyle name="Warning Text" xfId="19" builtinId="11" customBuiltin="1"/>
  </cellStyles>
  <dxfs count="45">
    <dxf>
      <font>
        <b/>
        <i val="0"/>
        <color theme="1"/>
      </font>
      <fill>
        <patternFill>
          <bgColor rgb="FF00B050"/>
        </patternFill>
      </fill>
    </dxf>
    <dxf>
      <font>
        <b/>
        <i val="0"/>
        <color theme="1"/>
      </font>
      <numFmt numFmtId="12" formatCode="&quot;$&quot;#,##0.00;[Red]\-&quot;$&quot;#,##0.00"/>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i val="0"/>
      </font>
      <fill>
        <patternFill>
          <bgColor rgb="FFFF0000"/>
        </patternFill>
      </fill>
    </dxf>
    <dxf>
      <fill>
        <patternFill>
          <bgColor theme="9" tint="0.7999816888943144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font>
      <fill>
        <patternFill>
          <bgColor rgb="FFFF0000"/>
        </patternFill>
      </fill>
    </dxf>
    <dxf>
      <fill>
        <patternFill>
          <bgColor theme="9" tint="0.79998168889431442"/>
        </patternFill>
      </fill>
    </dxf>
    <dxf>
      <fill>
        <patternFill>
          <bgColor rgb="FFFF0000"/>
        </patternFill>
      </fill>
    </dxf>
    <dxf>
      <fill>
        <patternFill>
          <bgColor theme="6"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00FF00"/>
      <color rgb="FF07587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65</xdr:col>
      <xdr:colOff>0</xdr:colOff>
      <xdr:row>7</xdr:row>
      <xdr:rowOff>9525</xdr:rowOff>
    </xdr:from>
    <xdr:to>
      <xdr:col>67</xdr:col>
      <xdr:colOff>19050</xdr:colOff>
      <xdr:row>8</xdr:row>
      <xdr:rowOff>187325</xdr:rowOff>
    </xdr:to>
    <xdr:sp macro="" textlink="">
      <xdr:nvSpPr>
        <xdr:cNvPr id="14337" name="CommandButton1" hidden="1">
          <a:extLst>
            <a:ext uri="{63B3BB69-23CF-44E3-9099-C40C66FF867C}">
              <a14:compatExt xmlns:a14="http://schemas.microsoft.com/office/drawing/2010/main"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65</xdr:col>
      <xdr:colOff>0</xdr:colOff>
      <xdr:row>7</xdr:row>
      <xdr:rowOff>9525</xdr:rowOff>
    </xdr:from>
    <xdr:to>
      <xdr:col>67</xdr:col>
      <xdr:colOff>19050</xdr:colOff>
      <xdr:row>8</xdr:row>
      <xdr:rowOff>187325</xdr:rowOff>
    </xdr:to>
    <xdr:sp macro="" textlink="">
      <xdr:nvSpPr>
        <xdr:cNvPr id="1440" name="CommandButton1" hidden="1">
          <a:extLst>
            <a:ext uri="{63B3BB69-23CF-44E3-9099-C40C66FF867C}">
              <a14:compatExt xmlns:a14="http://schemas.microsoft.com/office/drawing/2010/main"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701674</xdr:colOff>
      <xdr:row>18</xdr:row>
      <xdr:rowOff>73608</xdr:rowOff>
    </xdr:from>
    <xdr:to>
      <xdr:col>19</xdr:col>
      <xdr:colOff>583825</xdr:colOff>
      <xdr:row>62</xdr:row>
      <xdr:rowOff>127000</xdr:rowOff>
    </xdr:to>
    <xdr:pic>
      <xdr:nvPicPr>
        <xdr:cNvPr id="8" name="Picture 1">
          <a:extLst>
            <a:ext uri="{FF2B5EF4-FFF2-40B4-BE49-F238E27FC236}">
              <a16:creationId xmlns:a16="http://schemas.microsoft.com/office/drawing/2014/main" id="{4B03A0C7-E558-47E4-B012-BC88BE45F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3424" y="3045408"/>
          <a:ext cx="3381001" cy="7317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145</xdr:row>
      <xdr:rowOff>0</xdr:rowOff>
    </xdr:from>
    <xdr:to>
      <xdr:col>24</xdr:col>
      <xdr:colOff>602357</xdr:colOff>
      <xdr:row>147</xdr:row>
      <xdr:rowOff>76150</xdr:rowOff>
    </xdr:to>
    <xdr:pic>
      <xdr:nvPicPr>
        <xdr:cNvPr id="2" name="Picture 1">
          <a:extLst>
            <a:ext uri="{FF2B5EF4-FFF2-40B4-BE49-F238E27FC236}">
              <a16:creationId xmlns:a16="http://schemas.microsoft.com/office/drawing/2014/main" id="{0EDCBEDD-A4D2-48D6-A9E6-F10BAC19F703}"/>
            </a:ext>
          </a:extLst>
        </xdr:cNvPr>
        <xdr:cNvPicPr>
          <a:picLocks noChangeAspect="1"/>
        </xdr:cNvPicPr>
      </xdr:nvPicPr>
      <xdr:blipFill>
        <a:blip xmlns:r="http://schemas.openxmlformats.org/officeDocument/2006/relationships" r:embed="rId2"/>
        <a:stretch>
          <a:fillRect/>
        </a:stretch>
      </xdr:blipFill>
      <xdr:spPr>
        <a:xfrm>
          <a:off x="12715875" y="10839450"/>
          <a:ext cx="7142857" cy="400000"/>
        </a:xfrm>
        <a:prstGeom prst="rect">
          <a:avLst/>
        </a:prstGeom>
      </xdr:spPr>
    </xdr:pic>
    <xdr:clientData/>
  </xdr:twoCellAnchor>
  <xdr:twoCellAnchor editAs="oneCell">
    <xdr:from>
      <xdr:col>10</xdr:col>
      <xdr:colOff>263525</xdr:colOff>
      <xdr:row>300</xdr:row>
      <xdr:rowOff>9524</xdr:rowOff>
    </xdr:from>
    <xdr:to>
      <xdr:col>13</xdr:col>
      <xdr:colOff>607524</xdr:colOff>
      <xdr:row>314</xdr:row>
      <xdr:rowOff>2503</xdr:rowOff>
    </xdr:to>
    <xdr:pic>
      <xdr:nvPicPr>
        <xdr:cNvPr id="12" name="Picture 11">
          <a:extLst>
            <a:ext uri="{FF2B5EF4-FFF2-40B4-BE49-F238E27FC236}">
              <a16:creationId xmlns:a16="http://schemas.microsoft.com/office/drawing/2014/main" id="{96532FE8-2847-4626-A25A-B33D701AFCA3}"/>
            </a:ext>
          </a:extLst>
        </xdr:cNvPr>
        <xdr:cNvPicPr>
          <a:picLocks noChangeAspect="1"/>
        </xdr:cNvPicPr>
      </xdr:nvPicPr>
      <xdr:blipFill>
        <a:blip xmlns:r="http://schemas.openxmlformats.org/officeDocument/2006/relationships" r:embed="rId3"/>
        <a:stretch>
          <a:fillRect/>
        </a:stretch>
      </xdr:blipFill>
      <xdr:spPr>
        <a:xfrm>
          <a:off x="9702800" y="48577499"/>
          <a:ext cx="2582374" cy="2253579"/>
        </a:xfrm>
        <a:prstGeom prst="rect">
          <a:avLst/>
        </a:prstGeom>
      </xdr:spPr>
    </xdr:pic>
    <xdr:clientData/>
  </xdr:twoCellAnchor>
  <xdr:twoCellAnchor editAs="oneCell">
    <xdr:from>
      <xdr:col>10</xdr:col>
      <xdr:colOff>77388</xdr:colOff>
      <xdr:row>319</xdr:row>
      <xdr:rowOff>88900</xdr:rowOff>
    </xdr:from>
    <xdr:to>
      <xdr:col>14</xdr:col>
      <xdr:colOff>505841</xdr:colOff>
      <xdr:row>337</xdr:row>
      <xdr:rowOff>136524</xdr:rowOff>
    </xdr:to>
    <xdr:pic>
      <xdr:nvPicPr>
        <xdr:cNvPr id="6" name="Picture 5">
          <a:extLst>
            <a:ext uri="{FF2B5EF4-FFF2-40B4-BE49-F238E27FC236}">
              <a16:creationId xmlns:a16="http://schemas.microsoft.com/office/drawing/2014/main" id="{1CB987B5-411B-9B5C-706A-47A29944BFF9}"/>
            </a:ext>
          </a:extLst>
        </xdr:cNvPr>
        <xdr:cNvPicPr>
          <a:picLocks noChangeAspect="1"/>
        </xdr:cNvPicPr>
      </xdr:nvPicPr>
      <xdr:blipFill>
        <a:blip xmlns:r="http://schemas.openxmlformats.org/officeDocument/2006/relationships" r:embed="rId4"/>
        <a:stretch>
          <a:fillRect/>
        </a:stretch>
      </xdr:blipFill>
      <xdr:spPr>
        <a:xfrm>
          <a:off x="9516663" y="51733450"/>
          <a:ext cx="3273253" cy="2962274"/>
        </a:xfrm>
        <a:prstGeom prst="rect">
          <a:avLst/>
        </a:prstGeom>
      </xdr:spPr>
    </xdr:pic>
    <xdr:clientData/>
  </xdr:twoCellAnchor>
  <xdr:twoCellAnchor editAs="oneCell">
    <xdr:from>
      <xdr:col>3</xdr:col>
      <xdr:colOff>828675</xdr:colOff>
      <xdr:row>301</xdr:row>
      <xdr:rowOff>19050</xdr:rowOff>
    </xdr:from>
    <xdr:to>
      <xdr:col>8</xdr:col>
      <xdr:colOff>278379</xdr:colOff>
      <xdr:row>314</xdr:row>
      <xdr:rowOff>19050</xdr:rowOff>
    </xdr:to>
    <xdr:pic>
      <xdr:nvPicPr>
        <xdr:cNvPr id="3" name="Picture 2">
          <a:extLst>
            <a:ext uri="{FF2B5EF4-FFF2-40B4-BE49-F238E27FC236}">
              <a16:creationId xmlns:a16="http://schemas.microsoft.com/office/drawing/2014/main" id="{544455E1-6B60-4FE2-9853-25E6A82EDFA3}"/>
            </a:ext>
          </a:extLst>
        </xdr:cNvPr>
        <xdr:cNvPicPr>
          <a:picLocks noChangeAspect="1"/>
        </xdr:cNvPicPr>
      </xdr:nvPicPr>
      <xdr:blipFill>
        <a:blip xmlns:r="http://schemas.openxmlformats.org/officeDocument/2006/relationships" r:embed="rId5"/>
        <a:stretch>
          <a:fillRect/>
        </a:stretch>
      </xdr:blipFill>
      <xdr:spPr>
        <a:xfrm>
          <a:off x="4905375" y="48748950"/>
          <a:ext cx="3475604" cy="2105025"/>
        </a:xfrm>
        <a:prstGeom prst="rect">
          <a:avLst/>
        </a:prstGeom>
      </xdr:spPr>
    </xdr:pic>
    <xdr:clientData/>
  </xdr:twoCellAnchor>
  <xdr:twoCellAnchor editAs="oneCell">
    <xdr:from>
      <xdr:col>10</xdr:col>
      <xdr:colOff>29764</xdr:colOff>
      <xdr:row>318</xdr:row>
      <xdr:rowOff>146050</xdr:rowOff>
    </xdr:from>
    <xdr:to>
      <xdr:col>15</xdr:col>
      <xdr:colOff>342901</xdr:colOff>
      <xdr:row>338</xdr:row>
      <xdr:rowOff>66576</xdr:rowOff>
    </xdr:to>
    <xdr:pic>
      <xdr:nvPicPr>
        <xdr:cNvPr id="4" name="Picture 3">
          <a:extLst>
            <a:ext uri="{FF2B5EF4-FFF2-40B4-BE49-F238E27FC236}">
              <a16:creationId xmlns:a16="http://schemas.microsoft.com/office/drawing/2014/main" id="{96F6BAE4-05FD-40C0-B039-58F44FF1885A}"/>
            </a:ext>
          </a:extLst>
        </xdr:cNvPr>
        <xdr:cNvPicPr>
          <a:picLocks noChangeAspect="1"/>
        </xdr:cNvPicPr>
      </xdr:nvPicPr>
      <xdr:blipFill>
        <a:blip xmlns:r="http://schemas.openxmlformats.org/officeDocument/2006/relationships" r:embed="rId6"/>
        <a:stretch>
          <a:fillRect/>
        </a:stretch>
      </xdr:blipFill>
      <xdr:spPr>
        <a:xfrm>
          <a:off x="9469039" y="51628675"/>
          <a:ext cx="3770712" cy="3155851"/>
        </a:xfrm>
        <a:prstGeom prst="rect">
          <a:avLst/>
        </a:prstGeom>
      </xdr:spPr>
    </xdr:pic>
    <xdr:clientData/>
  </xdr:twoCellAnchor>
  <xdr:twoCellAnchor editAs="oneCell">
    <xdr:from>
      <xdr:col>2</xdr:col>
      <xdr:colOff>742950</xdr:colOff>
      <xdr:row>319</xdr:row>
      <xdr:rowOff>0</xdr:rowOff>
    </xdr:from>
    <xdr:to>
      <xdr:col>6</xdr:col>
      <xdr:colOff>449920</xdr:colOff>
      <xdr:row>356</xdr:row>
      <xdr:rowOff>66675</xdr:rowOff>
    </xdr:to>
    <xdr:pic>
      <xdr:nvPicPr>
        <xdr:cNvPr id="13" name="Picture 12">
          <a:extLst>
            <a:ext uri="{FF2B5EF4-FFF2-40B4-BE49-F238E27FC236}">
              <a16:creationId xmlns:a16="http://schemas.microsoft.com/office/drawing/2014/main" id="{880CD28D-1751-4A23-B87D-601FED0D77D0}"/>
            </a:ext>
          </a:extLst>
        </xdr:cNvPr>
        <xdr:cNvPicPr>
          <a:picLocks noChangeAspect="1"/>
        </xdr:cNvPicPr>
      </xdr:nvPicPr>
      <xdr:blipFill>
        <a:blip xmlns:r="http://schemas.openxmlformats.org/officeDocument/2006/relationships" r:embed="rId7"/>
        <a:stretch>
          <a:fillRect/>
        </a:stretch>
      </xdr:blipFill>
      <xdr:spPr>
        <a:xfrm>
          <a:off x="4067175" y="51644550"/>
          <a:ext cx="2923245" cy="6061075"/>
        </a:xfrm>
        <a:prstGeom prst="rect">
          <a:avLst/>
        </a:prstGeom>
      </xdr:spPr>
    </xdr:pic>
    <xdr:clientData/>
  </xdr:twoCellAnchor>
  <xdr:twoCellAnchor editAs="oneCell">
    <xdr:from>
      <xdr:col>10</xdr:col>
      <xdr:colOff>209550</xdr:colOff>
      <xdr:row>300</xdr:row>
      <xdr:rowOff>47625</xdr:rowOff>
    </xdr:from>
    <xdr:to>
      <xdr:col>16</xdr:col>
      <xdr:colOff>335258</xdr:colOff>
      <xdr:row>311</xdr:row>
      <xdr:rowOff>82550</xdr:rowOff>
    </xdr:to>
    <xdr:pic>
      <xdr:nvPicPr>
        <xdr:cNvPr id="15" name="Picture 14">
          <a:extLst>
            <a:ext uri="{FF2B5EF4-FFF2-40B4-BE49-F238E27FC236}">
              <a16:creationId xmlns:a16="http://schemas.microsoft.com/office/drawing/2014/main" id="{BE7611F7-C50F-4338-96B0-CDC40409452A}"/>
            </a:ext>
          </a:extLst>
        </xdr:cNvPr>
        <xdr:cNvPicPr>
          <a:picLocks noChangeAspect="1"/>
        </xdr:cNvPicPr>
      </xdr:nvPicPr>
      <xdr:blipFill>
        <a:blip xmlns:r="http://schemas.openxmlformats.org/officeDocument/2006/relationships" r:embed="rId8"/>
        <a:stretch>
          <a:fillRect/>
        </a:stretch>
      </xdr:blipFill>
      <xdr:spPr>
        <a:xfrm>
          <a:off x="9648825" y="48615600"/>
          <a:ext cx="4196058" cy="1812925"/>
        </a:xfrm>
        <a:prstGeom prst="rect">
          <a:avLst/>
        </a:prstGeom>
      </xdr:spPr>
    </xdr:pic>
    <xdr:clientData/>
  </xdr:twoCellAnchor>
  <xdr:twoCellAnchor editAs="oneCell">
    <xdr:from>
      <xdr:col>3</xdr:col>
      <xdr:colOff>809626</xdr:colOff>
      <xdr:row>299</xdr:row>
      <xdr:rowOff>104776</xdr:rowOff>
    </xdr:from>
    <xdr:to>
      <xdr:col>8</xdr:col>
      <xdr:colOff>628651</xdr:colOff>
      <xdr:row>314</xdr:row>
      <xdr:rowOff>45434</xdr:rowOff>
    </xdr:to>
    <xdr:pic>
      <xdr:nvPicPr>
        <xdr:cNvPr id="7" name="Picture 6">
          <a:extLst>
            <a:ext uri="{FF2B5EF4-FFF2-40B4-BE49-F238E27FC236}">
              <a16:creationId xmlns:a16="http://schemas.microsoft.com/office/drawing/2014/main" id="{5B7176F9-E09F-4E35-AB5A-62225252BB49}"/>
            </a:ext>
          </a:extLst>
        </xdr:cNvPr>
        <xdr:cNvPicPr>
          <a:picLocks noChangeAspect="1"/>
        </xdr:cNvPicPr>
      </xdr:nvPicPr>
      <xdr:blipFill>
        <a:blip xmlns:r="http://schemas.openxmlformats.org/officeDocument/2006/relationships" r:embed="rId9"/>
        <a:stretch>
          <a:fillRect/>
        </a:stretch>
      </xdr:blipFill>
      <xdr:spPr>
        <a:xfrm>
          <a:off x="4886326" y="48510826"/>
          <a:ext cx="3848100" cy="2372708"/>
        </a:xfrm>
        <a:prstGeom prst="rect">
          <a:avLst/>
        </a:prstGeom>
        <a:ln>
          <a:solidFill>
            <a:schemeClr val="tx2">
              <a:lumMod val="60000"/>
              <a:lumOff val="40000"/>
            </a:schemeClr>
          </a:solidFill>
        </a:ln>
      </xdr:spPr>
    </xdr:pic>
    <xdr:clientData/>
  </xdr:twoCellAnchor>
  <xdr:twoCellAnchor editAs="oneCell">
    <xdr:from>
      <xdr:col>10</xdr:col>
      <xdr:colOff>9525</xdr:colOff>
      <xdr:row>299</xdr:row>
      <xdr:rowOff>142876</xdr:rowOff>
    </xdr:from>
    <xdr:to>
      <xdr:col>16</xdr:col>
      <xdr:colOff>482600</xdr:colOff>
      <xdr:row>314</xdr:row>
      <xdr:rowOff>74641</xdr:rowOff>
    </xdr:to>
    <xdr:pic>
      <xdr:nvPicPr>
        <xdr:cNvPr id="10" name="Picture 9">
          <a:extLst>
            <a:ext uri="{FF2B5EF4-FFF2-40B4-BE49-F238E27FC236}">
              <a16:creationId xmlns:a16="http://schemas.microsoft.com/office/drawing/2014/main" id="{F5DAC811-BDAB-4C3C-906D-2A125C59A1BB}"/>
            </a:ext>
          </a:extLst>
        </xdr:cNvPr>
        <xdr:cNvPicPr>
          <a:picLocks noChangeAspect="1"/>
        </xdr:cNvPicPr>
      </xdr:nvPicPr>
      <xdr:blipFill>
        <a:blip xmlns:r="http://schemas.openxmlformats.org/officeDocument/2006/relationships" r:embed="rId10"/>
        <a:stretch>
          <a:fillRect/>
        </a:stretch>
      </xdr:blipFill>
      <xdr:spPr>
        <a:xfrm>
          <a:off x="9448800" y="48548926"/>
          <a:ext cx="4543425" cy="2360640"/>
        </a:xfrm>
        <a:prstGeom prst="rect">
          <a:avLst/>
        </a:prstGeom>
        <a:ln>
          <a:solidFill>
            <a:schemeClr val="tx2">
              <a:lumMod val="60000"/>
              <a:lumOff val="40000"/>
            </a:schemeClr>
          </a:solidFill>
        </a:ln>
      </xdr:spPr>
    </xdr:pic>
    <xdr:clientData/>
  </xdr:twoCellAnchor>
  <xdr:twoCellAnchor editAs="oneCell">
    <xdr:from>
      <xdr:col>10</xdr:col>
      <xdr:colOff>20239</xdr:colOff>
      <xdr:row>319</xdr:row>
      <xdr:rowOff>12700</xdr:rowOff>
    </xdr:from>
    <xdr:to>
      <xdr:col>16</xdr:col>
      <xdr:colOff>133073</xdr:colOff>
      <xdr:row>338</xdr:row>
      <xdr:rowOff>44450</xdr:rowOff>
    </xdr:to>
    <xdr:pic>
      <xdr:nvPicPr>
        <xdr:cNvPr id="14" name="Picture 13">
          <a:extLst>
            <a:ext uri="{FF2B5EF4-FFF2-40B4-BE49-F238E27FC236}">
              <a16:creationId xmlns:a16="http://schemas.microsoft.com/office/drawing/2014/main" id="{2E30C2CB-96CB-4AF1-99AC-827F7331E8B2}"/>
            </a:ext>
          </a:extLst>
        </xdr:cNvPr>
        <xdr:cNvPicPr>
          <a:picLocks noChangeAspect="1"/>
        </xdr:cNvPicPr>
      </xdr:nvPicPr>
      <xdr:blipFill>
        <a:blip xmlns:r="http://schemas.openxmlformats.org/officeDocument/2006/relationships" r:embed="rId11"/>
        <a:stretch>
          <a:fillRect/>
        </a:stretch>
      </xdr:blipFill>
      <xdr:spPr>
        <a:xfrm>
          <a:off x="9459514" y="51657250"/>
          <a:ext cx="4180009" cy="3105150"/>
        </a:xfrm>
        <a:prstGeom prst="rect">
          <a:avLst/>
        </a:prstGeom>
        <a:ln>
          <a:solidFill>
            <a:schemeClr val="tx2">
              <a:lumMod val="60000"/>
              <a:lumOff val="40000"/>
            </a:schemeClr>
          </a:solidFill>
        </a:ln>
      </xdr:spPr>
    </xdr:pic>
    <xdr:clientData/>
  </xdr:twoCellAnchor>
  <xdr:twoCellAnchor editAs="oneCell">
    <xdr:from>
      <xdr:col>2</xdr:col>
      <xdr:colOff>723900</xdr:colOff>
      <xdr:row>319</xdr:row>
      <xdr:rowOff>19050</xdr:rowOff>
    </xdr:from>
    <xdr:to>
      <xdr:col>8</xdr:col>
      <xdr:colOff>292100</xdr:colOff>
      <xdr:row>356</xdr:row>
      <xdr:rowOff>50075</xdr:rowOff>
    </xdr:to>
    <xdr:pic>
      <xdr:nvPicPr>
        <xdr:cNvPr id="16" name="Picture 15">
          <a:extLst>
            <a:ext uri="{FF2B5EF4-FFF2-40B4-BE49-F238E27FC236}">
              <a16:creationId xmlns:a16="http://schemas.microsoft.com/office/drawing/2014/main" id="{0C5FDA4C-40DF-4B06-9760-8C57AFBD3621}"/>
            </a:ext>
          </a:extLst>
        </xdr:cNvPr>
        <xdr:cNvPicPr>
          <a:picLocks noChangeAspect="1"/>
        </xdr:cNvPicPr>
      </xdr:nvPicPr>
      <xdr:blipFill>
        <a:blip xmlns:r="http://schemas.openxmlformats.org/officeDocument/2006/relationships" r:embed="rId12"/>
        <a:stretch>
          <a:fillRect/>
        </a:stretch>
      </xdr:blipFill>
      <xdr:spPr>
        <a:xfrm>
          <a:off x="4048125" y="51663600"/>
          <a:ext cx="4352925" cy="6019075"/>
        </a:xfrm>
        <a:prstGeom prst="rect">
          <a:avLst/>
        </a:prstGeom>
        <a:ln>
          <a:solidFill>
            <a:schemeClr val="tx2">
              <a:lumMod val="60000"/>
              <a:lumOff val="40000"/>
            </a:schemeClr>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353277</xdr:colOff>
      <xdr:row>22</xdr:row>
      <xdr:rowOff>121226</xdr:rowOff>
    </xdr:from>
    <xdr:to>
      <xdr:col>4</xdr:col>
      <xdr:colOff>164522</xdr:colOff>
      <xdr:row>55</xdr:row>
      <xdr:rowOff>81621</xdr:rowOff>
    </xdr:to>
    <xdr:pic>
      <xdr:nvPicPr>
        <xdr:cNvPr id="3" name="Picture 2">
          <a:extLst>
            <a:ext uri="{FF2B5EF4-FFF2-40B4-BE49-F238E27FC236}">
              <a16:creationId xmlns:a16="http://schemas.microsoft.com/office/drawing/2014/main" id="{03846350-149A-43C8-D9BF-979C42F21F43}"/>
            </a:ext>
          </a:extLst>
        </xdr:cNvPr>
        <xdr:cNvPicPr>
          <a:picLocks noChangeAspect="1"/>
        </xdr:cNvPicPr>
      </xdr:nvPicPr>
      <xdr:blipFill>
        <a:blip xmlns:r="http://schemas.openxmlformats.org/officeDocument/2006/relationships" r:embed="rId1"/>
        <a:stretch>
          <a:fillRect/>
        </a:stretch>
      </xdr:blipFill>
      <xdr:spPr>
        <a:xfrm>
          <a:off x="656345" y="3082635"/>
          <a:ext cx="4400563" cy="54675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10233</xdr:colOff>
      <xdr:row>0</xdr:row>
      <xdr:rowOff>248661</xdr:rowOff>
    </xdr:from>
    <xdr:to>
      <xdr:col>14</xdr:col>
      <xdr:colOff>560566</xdr:colOff>
      <xdr:row>18</xdr:row>
      <xdr:rowOff>118037</xdr:rowOff>
    </xdr:to>
    <xdr:pic>
      <xdr:nvPicPr>
        <xdr:cNvPr id="7" name="Picture 6">
          <a:extLst>
            <a:ext uri="{FF2B5EF4-FFF2-40B4-BE49-F238E27FC236}">
              <a16:creationId xmlns:a16="http://schemas.microsoft.com/office/drawing/2014/main" id="{0AB09EC3-038B-4286-96F4-D619CCC3AE01}"/>
            </a:ext>
          </a:extLst>
        </xdr:cNvPr>
        <xdr:cNvPicPr>
          <a:picLocks noChangeAspect="1"/>
        </xdr:cNvPicPr>
      </xdr:nvPicPr>
      <xdr:blipFill>
        <a:blip xmlns:r="http://schemas.openxmlformats.org/officeDocument/2006/relationships" r:embed="rId1"/>
        <a:stretch>
          <a:fillRect/>
        </a:stretch>
      </xdr:blipFill>
      <xdr:spPr>
        <a:xfrm>
          <a:off x="7693733" y="248661"/>
          <a:ext cx="6011333" cy="3502987"/>
        </a:xfrm>
        <a:prstGeom prst="rect">
          <a:avLst/>
        </a:prstGeom>
      </xdr:spPr>
    </xdr:pic>
    <xdr:clientData/>
  </xdr:twoCellAnchor>
  <xdr:twoCellAnchor editAs="oneCell">
    <xdr:from>
      <xdr:col>3</xdr:col>
      <xdr:colOff>6352</xdr:colOff>
      <xdr:row>20</xdr:row>
      <xdr:rowOff>84119</xdr:rowOff>
    </xdr:from>
    <xdr:to>
      <xdr:col>14</xdr:col>
      <xdr:colOff>553510</xdr:colOff>
      <xdr:row>23</xdr:row>
      <xdr:rowOff>110645</xdr:rowOff>
    </xdr:to>
    <xdr:pic>
      <xdr:nvPicPr>
        <xdr:cNvPr id="8" name="Picture 7">
          <a:extLst>
            <a:ext uri="{FF2B5EF4-FFF2-40B4-BE49-F238E27FC236}">
              <a16:creationId xmlns:a16="http://schemas.microsoft.com/office/drawing/2014/main" id="{BFC81F30-D2D6-4807-A09F-F7FEDD75120A}"/>
            </a:ext>
          </a:extLst>
        </xdr:cNvPr>
        <xdr:cNvPicPr>
          <a:picLocks noChangeAspect="1"/>
        </xdr:cNvPicPr>
      </xdr:nvPicPr>
      <xdr:blipFill>
        <a:blip xmlns:r="http://schemas.openxmlformats.org/officeDocument/2006/relationships" r:embed="rId2"/>
        <a:stretch>
          <a:fillRect/>
        </a:stretch>
      </xdr:blipFill>
      <xdr:spPr>
        <a:xfrm>
          <a:off x="7365296" y="4232786"/>
          <a:ext cx="6008158" cy="5948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533400</xdr:colOff>
      <xdr:row>8</xdr:row>
      <xdr:rowOff>76200</xdr:rowOff>
    </xdr:from>
    <xdr:to>
      <xdr:col>6</xdr:col>
      <xdr:colOff>325005</xdr:colOff>
      <xdr:row>46</xdr:row>
      <xdr:rowOff>77059</xdr:rowOff>
    </xdr:to>
    <xdr:pic>
      <xdr:nvPicPr>
        <xdr:cNvPr id="3" name="Picture 2">
          <a:extLst>
            <a:ext uri="{FF2B5EF4-FFF2-40B4-BE49-F238E27FC236}">
              <a16:creationId xmlns:a16="http://schemas.microsoft.com/office/drawing/2014/main" id="{22552D39-178A-C550-CD96-9C748333829F}"/>
            </a:ext>
          </a:extLst>
        </xdr:cNvPr>
        <xdr:cNvPicPr>
          <a:picLocks noChangeAspect="1"/>
        </xdr:cNvPicPr>
      </xdr:nvPicPr>
      <xdr:blipFill>
        <a:blip xmlns:r="http://schemas.openxmlformats.org/officeDocument/2006/relationships" r:embed="rId1"/>
        <a:stretch>
          <a:fillRect/>
        </a:stretch>
      </xdr:blipFill>
      <xdr:spPr>
        <a:xfrm>
          <a:off x="1857375" y="1752600"/>
          <a:ext cx="8278380" cy="61540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Snr%20Manager%20Credit\Loan%20Worksheets\Loan%20Worksheet%2014%20October%202025.xlsx" TargetMode="External"/><Relationship Id="rId1" Type="http://schemas.openxmlformats.org/officeDocument/2006/relationships/externalLinkPath" Target="file:///C:\Users\ktowerton\MOVE%20Bank\Credit%20-%20Management%20-%20Management\Loan%20Worksheets\Loan%20Worksheet%2014%20October%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oker"/>
      <sheetName val="Tables_Brokers"/>
      <sheetName val="Worksheet"/>
      <sheetName val="Tables"/>
      <sheetName val="DropINTable"/>
      <sheetName val="Schedule of Changes"/>
      <sheetName val="Living Expenses"/>
      <sheetName val="Funds to Complete"/>
      <sheetName val="Fees"/>
      <sheetName val="ARS223"/>
      <sheetName val="Postcodes"/>
      <sheetName val="Geographic Classification"/>
      <sheetName val="HEM"/>
      <sheetName val="Self-Employed"/>
      <sheetName val="Bridging"/>
      <sheetName val="Construction"/>
      <sheetName val="Per_child_accounting"/>
      <sheetName val="Quantile Regres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hyperlink" Target="https://aus01.safelinks.protection.outlook.com/?url=https%3A%2F%2Fwww.qbe.com%2Flmi%2Ftools-resources%2Flocation-wizard&amp;data=05%7C02%7Cktowerton%40movebank.com.au%7Cce7fc65e31ef4d5dea3108dddf897a96%7C4bdbf541cf8b455e932c43a10d297075%7C0%7C0%7C638912504129635397%7CUnknown%7CTWFpbGZsb3d8eyJFbXB0eU1hcGkiOnRydWUsIlYiOiIwLjAuMDAwMCIsIlAiOiJXaW4zMiIsIkFOIjoiTWFpbCIsIldUIjoyfQ%3D%3D%7C0%7C%7C%7C&amp;sdata=gelLo6ts12OTCh0zLVFSB%2Bm9nR8iwihugFDocm3eipM%3D&amp;reserved=0"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qro.qld.gov.au/property-concessions-grants/first-home-grant/apply/" TargetMode="External"/><Relationship Id="rId2" Type="http://schemas.openxmlformats.org/officeDocument/2006/relationships/hyperlink" Target="https://www.sro.vic.gov.au/first-home-owner-grant/understanding-first-home-owner-grant" TargetMode="External"/><Relationship Id="rId1" Type="http://schemas.openxmlformats.org/officeDocument/2006/relationships/hyperlink" Target="https://www.revenue.nsw.gov.au/grants-schemes/first-home-buyer/first-home-owner-new-homes-grant"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movebank.com.au/quick-links/calculators/stamp-duty"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movebank.com.au/quick-links/calculators/stamp-duty/" TargetMode="External"/><Relationship Id="rId1" Type="http://schemas.openxmlformats.org/officeDocument/2006/relationships/hyperlink" Target="https://www.paycalculator.com.au/"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6D0A-3D79-4AA4-83A5-E93E5E41A127}">
  <sheetPr codeName="Sheet8">
    <pageSetUpPr fitToPage="1"/>
  </sheetPr>
  <dimension ref="A1:AX83"/>
  <sheetViews>
    <sheetView tabSelected="1" zoomScaleNormal="100" workbookViewId="0">
      <selection activeCell="D24" sqref="D24"/>
    </sheetView>
  </sheetViews>
  <sheetFormatPr defaultColWidth="9.140625" defaultRowHeight="12" x14ac:dyDescent="0.2"/>
  <cols>
    <col min="1" max="1" width="2.42578125" style="337" customWidth="1"/>
    <col min="2" max="2" width="16.85546875" style="151" customWidth="1"/>
    <col min="3" max="3" width="18.5703125" style="151" customWidth="1"/>
    <col min="4" max="4" width="17" style="151" customWidth="1"/>
    <col min="5" max="5" width="9.42578125" style="151" customWidth="1"/>
    <col min="6" max="6" width="15.140625" style="151" customWidth="1"/>
    <col min="7" max="7" width="10" style="151" customWidth="1"/>
    <col min="8" max="8" width="5.7109375" style="151" customWidth="1"/>
    <col min="9" max="9" width="10.7109375" style="151" customWidth="1"/>
    <col min="10" max="10" width="11.85546875" style="151" customWidth="1"/>
    <col min="11" max="11" width="9.85546875" style="151" customWidth="1"/>
    <col min="12" max="12" width="13.28515625" style="151" customWidth="1"/>
    <col min="13" max="13" width="17" style="151" customWidth="1"/>
    <col min="14" max="14" width="8" style="116" customWidth="1"/>
    <col min="15" max="15" width="14.42578125" style="116" customWidth="1"/>
    <col min="16" max="16" width="15.7109375" style="116" customWidth="1"/>
    <col min="17" max="17" width="14.85546875" style="116" customWidth="1"/>
    <col min="18" max="18" width="15.140625" style="116" customWidth="1"/>
    <col min="19" max="19" width="14.42578125" style="116" hidden="1" customWidth="1"/>
    <col min="20" max="27" width="7.5703125" style="116" hidden="1" customWidth="1"/>
    <col min="28" max="28" width="4.42578125" style="116" hidden="1" customWidth="1"/>
    <col min="29" max="30" width="7.5703125" style="116" hidden="1" customWidth="1"/>
    <col min="31" max="35" width="10.7109375" style="116" customWidth="1"/>
    <col min="36" max="38" width="9.140625" style="116" customWidth="1"/>
    <col min="39" max="39" width="10.7109375" style="116" customWidth="1"/>
    <col min="40" max="41" width="9.140625" style="116" customWidth="1"/>
    <col min="42" max="42" width="9.140625" style="183" customWidth="1"/>
    <col min="43" max="44" width="9.140625" style="116" customWidth="1"/>
    <col min="45" max="47" width="9.140625" style="151" customWidth="1"/>
    <col min="48" max="16384" width="9.140625" style="151"/>
  </cols>
  <sheetData>
    <row r="1" spans="1:49" ht="15" customHeight="1" x14ac:dyDescent="0.2">
      <c r="B1" s="70" t="s">
        <v>0</v>
      </c>
      <c r="C1" s="182"/>
      <c r="D1" s="182"/>
      <c r="E1" s="182"/>
      <c r="F1" s="182"/>
      <c r="G1" s="233" t="s">
        <v>1746</v>
      </c>
      <c r="H1" s="711"/>
      <c r="I1" s="182"/>
      <c r="J1" s="390"/>
      <c r="K1" s="182"/>
      <c r="L1" s="71">
        <f ca="1">+NOW()</f>
        <v>46210.693019444443</v>
      </c>
      <c r="M1" s="261"/>
      <c r="N1" s="183"/>
    </row>
    <row r="2" spans="1:49" ht="5.25" customHeight="1" x14ac:dyDescent="0.2">
      <c r="B2" s="184"/>
      <c r="C2" s="185"/>
      <c r="D2" s="185"/>
      <c r="E2" s="185"/>
      <c r="F2" s="186"/>
      <c r="G2" s="185"/>
      <c r="H2" s="185"/>
      <c r="I2" s="185"/>
      <c r="J2" s="185"/>
      <c r="K2" s="185"/>
      <c r="L2" s="187"/>
      <c r="M2" s="261"/>
      <c r="N2" s="183"/>
    </row>
    <row r="3" spans="1:49" ht="15" customHeight="1" thickBot="1" x14ac:dyDescent="0.25">
      <c r="B3" s="184" t="s">
        <v>1</v>
      </c>
      <c r="C3" s="185"/>
      <c r="D3" s="185"/>
      <c r="E3" s="185"/>
      <c r="F3" s="186" t="s">
        <v>2</v>
      </c>
      <c r="G3" s="185"/>
      <c r="H3" s="186" t="s">
        <v>3</v>
      </c>
      <c r="I3" s="185"/>
      <c r="J3" s="185"/>
      <c r="K3" s="185"/>
      <c r="L3" s="188" t="s">
        <v>2</v>
      </c>
      <c r="M3" s="261"/>
      <c r="N3" s="183"/>
    </row>
    <row r="4" spans="1:49" ht="18" customHeight="1" thickBot="1" x14ac:dyDescent="0.25">
      <c r="B4" s="912"/>
      <c r="C4" s="913"/>
      <c r="D4" s="914"/>
      <c r="E4" s="181"/>
      <c r="F4" s="72"/>
      <c r="G4" s="189"/>
      <c r="H4" s="912"/>
      <c r="I4" s="913"/>
      <c r="J4" s="914"/>
      <c r="K4" s="33"/>
      <c r="L4" s="73"/>
      <c r="M4" s="261"/>
      <c r="N4" s="183"/>
    </row>
    <row r="5" spans="1:49" ht="5.25" customHeight="1" thickBot="1" x14ac:dyDescent="0.25">
      <c r="B5" s="190"/>
      <c r="C5" s="191"/>
      <c r="D5" s="191"/>
      <c r="E5" s="191"/>
      <c r="F5" s="191"/>
      <c r="G5" s="191"/>
      <c r="H5" s="191"/>
      <c r="I5" s="191"/>
      <c r="J5" s="192"/>
      <c r="K5" s="192"/>
      <c r="L5" s="193"/>
      <c r="M5" s="261"/>
      <c r="N5" s="183"/>
    </row>
    <row r="6" spans="1:49" s="195" customFormat="1" ht="18" customHeight="1" x14ac:dyDescent="0.2">
      <c r="A6" s="338"/>
      <c r="B6" s="915" t="s">
        <v>4</v>
      </c>
      <c r="C6" s="916"/>
      <c r="D6" s="916"/>
      <c r="E6" s="916"/>
      <c r="F6" s="916"/>
      <c r="G6" s="917"/>
      <c r="H6" s="194"/>
      <c r="I6" s="915" t="s">
        <v>5</v>
      </c>
      <c r="J6" s="916"/>
      <c r="K6" s="916"/>
      <c r="L6" s="917"/>
      <c r="M6" s="385" t="s">
        <v>6</v>
      </c>
      <c r="N6" s="197"/>
      <c r="O6" s="292" t="s">
        <v>7</v>
      </c>
      <c r="P6" s="293" t="s">
        <v>8</v>
      </c>
      <c r="Q6" s="293" t="s">
        <v>9</v>
      </c>
      <c r="R6" s="294" t="s">
        <v>10</v>
      </c>
      <c r="S6" s="196"/>
      <c r="T6" s="196"/>
      <c r="U6" s="196"/>
      <c r="V6" s="196"/>
      <c r="W6" s="196"/>
      <c r="X6" s="196"/>
      <c r="Y6" s="196" t="s">
        <v>11</v>
      </c>
      <c r="Z6" s="196" t="s">
        <v>12</v>
      </c>
      <c r="AA6" s="196"/>
      <c r="AB6" s="196"/>
      <c r="AC6" s="196"/>
      <c r="AD6" s="196"/>
      <c r="AE6" s="196"/>
      <c r="AF6" s="196"/>
      <c r="AG6" s="196"/>
      <c r="AH6" s="196"/>
      <c r="AI6" s="196"/>
      <c r="AJ6" s="196"/>
      <c r="AK6" s="196"/>
      <c r="AL6" s="196"/>
      <c r="AM6" s="196"/>
      <c r="AN6" s="196"/>
      <c r="AO6" s="196"/>
      <c r="AP6" s="197"/>
      <c r="AQ6" s="196"/>
      <c r="AR6" s="196"/>
    </row>
    <row r="7" spans="1:49" ht="18" customHeight="1" x14ac:dyDescent="0.2">
      <c r="B7" s="198" t="s">
        <v>13</v>
      </c>
      <c r="C7" s="561" t="s">
        <v>14</v>
      </c>
      <c r="D7" s="918" t="s">
        <v>15</v>
      </c>
      <c r="E7" s="918"/>
      <c r="F7" s="561" t="s">
        <v>8</v>
      </c>
      <c r="G7" s="177" t="s">
        <v>16</v>
      </c>
      <c r="H7" s="185"/>
      <c r="I7" s="910"/>
      <c r="J7" s="911"/>
      <c r="K7" s="127"/>
      <c r="L7" s="387"/>
      <c r="M7" s="386"/>
      <c r="N7" s="271">
        <f>+IF(I7="Salary Packaging",1,0)+IF(I7="Car Allowance",1,0)</f>
        <v>0</v>
      </c>
      <c r="O7" s="295" t="s">
        <v>11</v>
      </c>
      <c r="P7" s="296">
        <f>+SUM(X8:X13)+SUMIF(M7:M9,"App 1",V7:V9)+SUMIF(M12:M13,"App 1",V12:V13)</f>
        <v>0</v>
      </c>
      <c r="Q7" s="296">
        <f>+SUM(T8:T13)/12+SUMIF(M7:M9,"App 1",V7:V9)+SUMIF(M12:M13,"App 1",V12:V13)*I14</f>
        <v>0</v>
      </c>
      <c r="R7" s="418">
        <f>+SUM(X8:X13)/30.3*Q14+(Y7*N7)/30.3*Q14+(Y8*N8)/30.3*Q14+(Y9*N9)/30.3*Q14</f>
        <v>0</v>
      </c>
      <c r="T7" s="227"/>
      <c r="U7" s="227"/>
      <c r="V7" s="332">
        <f>+IF(K7="",L7*0,IF(K7="A",L7/12,IF(K7="M",L7,IF(K7="b",L7*24/12,IF(K7="F",L7*26/12,IF(K7="W",L7*52/12))))))*W7</f>
        <v>0</v>
      </c>
      <c r="W7" s="116" t="b">
        <f>+IF(L7&gt;0,IF(K7="","error",1))</f>
        <v>0</v>
      </c>
      <c r="X7" s="227"/>
      <c r="Y7" s="227">
        <f>+SUMIF(M7,"App 1",V7)</f>
        <v>0</v>
      </c>
      <c r="Z7" s="227">
        <f>+SUMIF(M7,"App 2",V7)</f>
        <v>0</v>
      </c>
      <c r="AT7" s="200"/>
      <c r="AU7" s="201"/>
    </row>
    <row r="8" spans="1:49" ht="18" customHeight="1" x14ac:dyDescent="0.2">
      <c r="B8" s="198" t="s">
        <v>1</v>
      </c>
      <c r="C8" s="75"/>
      <c r="D8" s="901"/>
      <c r="E8" s="902"/>
      <c r="F8" s="408"/>
      <c r="G8" s="409"/>
      <c r="H8" s="185"/>
      <c r="I8" s="910"/>
      <c r="J8" s="911"/>
      <c r="K8" s="127"/>
      <c r="L8" s="387"/>
      <c r="M8" s="386"/>
      <c r="N8" s="271">
        <f t="shared" ref="N8:N9" si="0">+IF(I8="Salary Packaging",1,0)+IF(I8="Car Allowance",1,0)</f>
        <v>0</v>
      </c>
      <c r="O8" s="295" t="s">
        <v>12</v>
      </c>
      <c r="P8" s="296">
        <f>+SUM(X14:X19)+SUMIF(M7:M9,"App 2",V7:V9)+SUMIF(M12:M13,"App 2",V12:V13)</f>
        <v>0</v>
      </c>
      <c r="Q8" s="296">
        <f>+SUM(T14:T19)/12+SUMIF(M7:M9,"App 2",V7:V9)+SUMIF(M12:M13,"App 2",V12:V13)*0.8</f>
        <v>0</v>
      </c>
      <c r="R8" s="418">
        <f>+SUM(X14:X19)/30.3*Q18+(Z7*N7)/30.3*Q18+(Z8*N8)/30.3*Q18+(Z9*N9)/30.3*Q18</f>
        <v>0</v>
      </c>
      <c r="T8" s="332">
        <f>+IF(G8="",F8*0,IF(G8="A",F8,IF(G8="M",F8*12,IF(G8="B",F8*24,IF(G8="F",F8*26,IF(G8="W",F8*52))))))*U8</f>
        <v>0</v>
      </c>
      <c r="U8" s="227" t="b">
        <f>+IF(F8&gt;0,IF(G8="","error",1))</f>
        <v>0</v>
      </c>
      <c r="V8" s="332">
        <f t="shared" ref="V8:V9" si="1">+IF(K8="",L8*0,IF(K8="A",L8/12,IF(K8="M",L8,IF(K8="b",L8*24/12,IF(K8="F",L8*26/12,IF(K8="W",L8*52/12))))))*W8</f>
        <v>0</v>
      </c>
      <c r="W8" s="116" t="b">
        <f t="shared" ref="W8:W9" si="2">+IF(L8&gt;0,IF(K8="","error",1))</f>
        <v>0</v>
      </c>
      <c r="X8" s="227">
        <f>+T8/12</f>
        <v>0</v>
      </c>
      <c r="Y8" s="227">
        <f t="shared" ref="Y8:Y9" si="3">+SUMIF(M8,"App 1",V8)</f>
        <v>0</v>
      </c>
      <c r="Z8" s="227">
        <f t="shared" ref="Z8:Z9" si="4">+SUMIF(M8,"App 2",V8)</f>
        <v>0</v>
      </c>
      <c r="AT8" s="202"/>
      <c r="AU8" s="201"/>
      <c r="AV8" s="201"/>
    </row>
    <row r="9" spans="1:49" ht="18" customHeight="1" x14ac:dyDescent="0.2">
      <c r="B9" s="3" t="s">
        <v>1742</v>
      </c>
      <c r="C9" s="1">
        <v>0.8</v>
      </c>
      <c r="D9" s="905"/>
      <c r="E9" s="906"/>
      <c r="F9" s="410"/>
      <c r="G9" s="409"/>
      <c r="H9" s="185"/>
      <c r="I9" s="910"/>
      <c r="J9" s="911"/>
      <c r="K9" s="127"/>
      <c r="L9" s="387"/>
      <c r="M9" s="386"/>
      <c r="N9" s="271">
        <f t="shared" si="0"/>
        <v>0</v>
      </c>
      <c r="O9" s="297" t="s">
        <v>18</v>
      </c>
      <c r="P9" s="298">
        <f>SUM(P7:P8)</f>
        <v>0</v>
      </c>
      <c r="Q9" s="298">
        <f>SUM(Q7:Q8)</f>
        <v>0</v>
      </c>
      <c r="R9" s="299"/>
      <c r="T9" s="332">
        <f>+IF(G9="",0*F9,IF(G9="A",F9*C9,IF(G9="M",F9*12*C9,IF(G9="B",F9*24*C9,IF(G9="F",F9*26*C9,IF(G9="W",F9*52*C9))))))*U9</f>
        <v>0</v>
      </c>
      <c r="U9" s="227" t="b">
        <f t="shared" ref="U9:U19" si="5">+IF(F9&gt;0,IF(G9="","error",1))</f>
        <v>0</v>
      </c>
      <c r="V9" s="332">
        <f t="shared" si="1"/>
        <v>0</v>
      </c>
      <c r="W9" s="116" t="b">
        <f t="shared" si="2"/>
        <v>0</v>
      </c>
      <c r="X9" s="228">
        <f>+(T9/C9*100%)/12</f>
        <v>0</v>
      </c>
      <c r="Y9" s="227">
        <f t="shared" si="3"/>
        <v>0</v>
      </c>
      <c r="Z9" s="227">
        <f t="shared" si="4"/>
        <v>0</v>
      </c>
      <c r="AT9" s="200"/>
      <c r="AU9" s="201"/>
      <c r="AV9" s="201"/>
      <c r="AW9" s="201"/>
    </row>
    <row r="10" spans="1:49" ht="18" customHeight="1" x14ac:dyDescent="0.2">
      <c r="B10" s="3" t="s">
        <v>19</v>
      </c>
      <c r="C10" s="95">
        <v>1</v>
      </c>
      <c r="D10" s="901"/>
      <c r="E10" s="902"/>
      <c r="F10" s="408"/>
      <c r="G10" s="409"/>
      <c r="H10" s="185"/>
      <c r="I10" s="867" t="s">
        <v>1744</v>
      </c>
      <c r="J10" s="868"/>
      <c r="K10" s="868"/>
      <c r="L10" s="869"/>
      <c r="M10" s="263"/>
      <c r="N10" s="262"/>
      <c r="O10" s="300" t="s">
        <v>21</v>
      </c>
      <c r="P10" s="301">
        <f>+C50/12</f>
        <v>0</v>
      </c>
      <c r="Q10" s="301">
        <f>+C48</f>
        <v>0</v>
      </c>
      <c r="R10" s="302"/>
      <c r="T10" s="332">
        <f t="shared" ref="T10:T13" si="6">+IF(G10="",0*F10,IF(G10="A",F10*C10,IF(G10="M",F10*12*C10,IF(G10="B",F10*24*C10,IF(G10="F",F10*26*C10,IF(G10="W",F10*52*C10))))))*U10</f>
        <v>0</v>
      </c>
      <c r="U10" s="227" t="b">
        <f t="shared" si="5"/>
        <v>0</v>
      </c>
      <c r="V10" s="227"/>
      <c r="X10" s="228">
        <f t="shared" ref="X10:X13" si="7">+(T10/C10*100%)/12</f>
        <v>0</v>
      </c>
      <c r="Y10" s="203"/>
      <c r="Z10" s="203"/>
      <c r="AA10" s="204"/>
      <c r="AB10" s="204"/>
      <c r="AT10" s="202"/>
      <c r="AU10" s="201"/>
      <c r="AV10" s="201"/>
      <c r="AW10" s="201"/>
    </row>
    <row r="11" spans="1:49" ht="18" customHeight="1" x14ac:dyDescent="0.2">
      <c r="B11" s="3" t="s">
        <v>1743</v>
      </c>
      <c r="C11" s="1">
        <v>0.8</v>
      </c>
      <c r="D11" s="897"/>
      <c r="E11" s="898"/>
      <c r="F11" s="408"/>
      <c r="G11" s="409"/>
      <c r="H11" s="185"/>
      <c r="I11" s="205" t="s">
        <v>23</v>
      </c>
      <c r="J11" s="206" t="s">
        <v>24</v>
      </c>
      <c r="K11" s="206" t="s">
        <v>16</v>
      </c>
      <c r="L11" s="177" t="s">
        <v>25</v>
      </c>
      <c r="M11" s="385" t="s">
        <v>6</v>
      </c>
      <c r="N11" s="262"/>
      <c r="O11" s="303"/>
      <c r="P11" s="304"/>
      <c r="Q11" s="304"/>
      <c r="R11" s="302"/>
      <c r="T11" s="332">
        <f t="shared" si="6"/>
        <v>0</v>
      </c>
      <c r="U11" s="227" t="b">
        <f t="shared" si="5"/>
        <v>0</v>
      </c>
      <c r="V11" s="332"/>
      <c r="X11" s="228">
        <f t="shared" si="7"/>
        <v>0</v>
      </c>
      <c r="Y11" s="203"/>
      <c r="Z11" s="203"/>
      <c r="AA11" s="204"/>
      <c r="AB11" s="204"/>
      <c r="AT11" s="202"/>
      <c r="AU11" s="201"/>
      <c r="AV11" s="201"/>
      <c r="AW11" s="201"/>
    </row>
    <row r="12" spans="1:49" ht="18" customHeight="1" x14ac:dyDescent="0.2">
      <c r="B12" s="3" t="s">
        <v>26</v>
      </c>
      <c r="C12" s="76">
        <v>0.8</v>
      </c>
      <c r="D12" s="897"/>
      <c r="E12" s="898"/>
      <c r="F12" s="408"/>
      <c r="G12" s="409"/>
      <c r="H12" s="185"/>
      <c r="I12" s="3" t="s">
        <v>27</v>
      </c>
      <c r="J12" s="207"/>
      <c r="K12" s="171"/>
      <c r="L12" s="74"/>
      <c r="M12" s="386"/>
      <c r="N12" s="218"/>
      <c r="O12" s="305" t="s">
        <v>11</v>
      </c>
      <c r="P12" s="306" t="s">
        <v>28</v>
      </c>
      <c r="Q12" s="306" t="s">
        <v>16</v>
      </c>
      <c r="R12" s="299"/>
      <c r="T12" s="332">
        <f t="shared" si="6"/>
        <v>0</v>
      </c>
      <c r="U12" s="227" t="b">
        <f t="shared" si="5"/>
        <v>0</v>
      </c>
      <c r="V12" s="332">
        <f t="shared" ref="V12:V13" si="8">+IF(K12="",0*J12,IF(K12="A",J12/12,IF(K12="M",J12,IF(K12="B",J12*24/12,IF(K12="F",J12*26/12,IF(K12="W",J12*52/12))))))*W12</f>
        <v>0</v>
      </c>
      <c r="W12" s="116" t="b">
        <f t="shared" ref="W12:W13" si="9">+IF(J12&gt;0,IF(K12="","error",1))</f>
        <v>0</v>
      </c>
      <c r="X12" s="228">
        <f t="shared" si="7"/>
        <v>0</v>
      </c>
      <c r="Y12" s="227">
        <f t="shared" ref="Y12:Y13" si="10">+SUMIF(M12,"App 1",V12)</f>
        <v>0</v>
      </c>
      <c r="Z12" s="227">
        <f t="shared" ref="Z12:Z13" si="11">+SUMIF(M12,"App 2",V12)</f>
        <v>0</v>
      </c>
      <c r="AA12" s="204"/>
      <c r="AB12" s="204"/>
      <c r="AT12" s="200"/>
      <c r="AU12" s="201"/>
      <c r="AV12" s="201"/>
      <c r="AW12" s="201"/>
    </row>
    <row r="13" spans="1:49" ht="18" customHeight="1" x14ac:dyDescent="0.2">
      <c r="B13" s="11" t="s">
        <v>29</v>
      </c>
      <c r="C13" s="76">
        <v>0.5</v>
      </c>
      <c r="D13" s="899"/>
      <c r="E13" s="900"/>
      <c r="F13" s="408"/>
      <c r="G13" s="409"/>
      <c r="H13" s="185"/>
      <c r="I13" s="3" t="s">
        <v>30</v>
      </c>
      <c r="J13" s="207"/>
      <c r="K13" s="171"/>
      <c r="L13" s="74"/>
      <c r="M13" s="386"/>
      <c r="N13" s="264"/>
      <c r="O13" s="307" t="s">
        <v>31</v>
      </c>
      <c r="P13" s="308"/>
      <c r="Q13" s="424">
        <f>+G8</f>
        <v>0</v>
      </c>
      <c r="R13" s="309"/>
      <c r="T13" s="332">
        <f t="shared" si="6"/>
        <v>0</v>
      </c>
      <c r="U13" s="227" t="b">
        <f t="shared" si="5"/>
        <v>0</v>
      </c>
      <c r="V13" s="332">
        <f t="shared" si="8"/>
        <v>0</v>
      </c>
      <c r="W13" s="116" t="b">
        <f t="shared" si="9"/>
        <v>0</v>
      </c>
      <c r="X13" s="228">
        <f t="shared" si="7"/>
        <v>0</v>
      </c>
      <c r="Y13" s="227">
        <f t="shared" si="10"/>
        <v>0</v>
      </c>
      <c r="Z13" s="227">
        <f t="shared" si="11"/>
        <v>0</v>
      </c>
      <c r="AA13" s="204"/>
      <c r="AB13" s="204"/>
      <c r="AT13" s="200"/>
    </row>
    <row r="14" spans="1:49" ht="18" customHeight="1" thickBot="1" x14ac:dyDescent="0.25">
      <c r="B14" s="198" t="s">
        <v>3</v>
      </c>
      <c r="C14" s="75"/>
      <c r="D14" s="901"/>
      <c r="E14" s="902"/>
      <c r="F14" s="408"/>
      <c r="G14" s="409"/>
      <c r="H14" s="185"/>
      <c r="I14" s="89">
        <v>0.8</v>
      </c>
      <c r="J14" s="903" t="s">
        <v>32</v>
      </c>
      <c r="K14" s="904"/>
      <c r="L14" s="2">
        <f>V14</f>
        <v>0</v>
      </c>
      <c r="M14" s="261"/>
      <c r="N14" s="265"/>
      <c r="O14" s="300" t="s">
        <v>33</v>
      </c>
      <c r="P14" s="310">
        <v>45838</v>
      </c>
      <c r="Q14" s="315">
        <f>(P13-P14)</f>
        <v>-45838</v>
      </c>
      <c r="R14" s="311"/>
      <c r="T14" s="332">
        <f>+IF(G14="",+F9*0,IF(G14="A",F14,IF(G14="M",F14*12,IF(G14="B",F14*24,IF(G14="F",F14*26,IF(G14="W",F14*52))))))*U14</f>
        <v>0</v>
      </c>
      <c r="U14" s="227" t="b">
        <f t="shared" si="5"/>
        <v>0</v>
      </c>
      <c r="V14" s="227">
        <f>SUM(V12:V13)</f>
        <v>0</v>
      </c>
      <c r="X14" s="227">
        <f>+T14/12</f>
        <v>0</v>
      </c>
      <c r="Z14" s="203"/>
      <c r="AA14" s="204"/>
      <c r="AB14" s="204"/>
      <c r="AT14" s="200"/>
    </row>
    <row r="15" spans="1:49" ht="18" customHeight="1" x14ac:dyDescent="0.2">
      <c r="B15" s="3" t="s">
        <v>1742</v>
      </c>
      <c r="C15" s="1">
        <v>0.8</v>
      </c>
      <c r="D15" s="905"/>
      <c r="E15" s="906"/>
      <c r="F15" s="410"/>
      <c r="G15" s="409"/>
      <c r="H15" s="185"/>
      <c r="I15" s="839" t="s">
        <v>34</v>
      </c>
      <c r="J15" s="840"/>
      <c r="K15" s="840"/>
      <c r="L15" s="841"/>
      <c r="M15" s="261"/>
      <c r="N15" s="266"/>
      <c r="O15" s="312" t="s">
        <v>35</v>
      </c>
      <c r="P15" s="306">
        <f>ROUNDDOWN(+IF(Q13="",0*Q14,IF(Q13="M",Q14/30.3,IF(Q13="B",Q14/15,IF(Q13="F",Q14/14+1,IF(Q13="W",Q14/7))))),0)</f>
        <v>0</v>
      </c>
      <c r="R15" s="313"/>
      <c r="T15" s="332">
        <f>+IF(G15="",0*F15,IF(G15="A",F15*C15,IF(G15="M",F15*12*C15,IF(G15="B",F15*24*C15,IF(G15="F",F15*26*C15,IF(G15="W",F15*52*C15))))))*U15</f>
        <v>0</v>
      </c>
      <c r="U15" s="227" t="b">
        <f t="shared" si="5"/>
        <v>0</v>
      </c>
      <c r="V15" s="227"/>
      <c r="X15" s="228">
        <f>+(T15/C15*100%)/12</f>
        <v>0</v>
      </c>
      <c r="Z15" s="204"/>
      <c r="AA15" s="204"/>
      <c r="AB15" s="204"/>
      <c r="AT15" s="200"/>
    </row>
    <row r="16" spans="1:49" ht="18" customHeight="1" x14ac:dyDescent="0.2">
      <c r="B16" s="3" t="s">
        <v>19</v>
      </c>
      <c r="C16" s="95">
        <v>1</v>
      </c>
      <c r="D16" s="901"/>
      <c r="E16" s="902"/>
      <c r="F16" s="172"/>
      <c r="G16" s="173"/>
      <c r="H16" s="185"/>
      <c r="I16" s="754" t="s">
        <v>36</v>
      </c>
      <c r="J16" s="75"/>
      <c r="K16" s="423"/>
      <c r="L16" s="384" t="s">
        <v>37</v>
      </c>
      <c r="M16" s="267" t="e">
        <f>+L17+#REF!</f>
        <v>#N/A</v>
      </c>
      <c r="N16" s="183"/>
      <c r="O16" s="305" t="s">
        <v>12</v>
      </c>
      <c r="P16" s="306" t="s">
        <v>28</v>
      </c>
      <c r="Q16" s="306" t="s">
        <v>16</v>
      </c>
      <c r="R16" s="314"/>
      <c r="T16" s="332">
        <f t="shared" ref="T16:T19" si="12">+IF(G16="",0*F16,IF(G16="A",F16*C16,IF(G16="M",F16*12*C16,IF(G16="B",F16*24*C16,IF(G16="F",F16*26*C16,IF(G16="W",F16*52*C16))))))*U16</f>
        <v>0</v>
      </c>
      <c r="U16" s="227" t="b">
        <f t="shared" si="5"/>
        <v>0</v>
      </c>
      <c r="V16" s="227"/>
      <c r="X16" s="228">
        <f t="shared" ref="X16:X19" si="13">+(T16/C16*100%)/12</f>
        <v>0</v>
      </c>
      <c r="Z16" s="204"/>
      <c r="AA16" s="204"/>
      <c r="AB16" s="204"/>
      <c r="AC16" s="209"/>
      <c r="AT16" s="200"/>
    </row>
    <row r="17" spans="1:50" ht="18" customHeight="1" x14ac:dyDescent="0.2">
      <c r="B17" s="3" t="s">
        <v>1743</v>
      </c>
      <c r="C17" s="1">
        <v>0.8</v>
      </c>
      <c r="D17" s="897"/>
      <c r="E17" s="898"/>
      <c r="F17" s="172"/>
      <c r="G17" s="173"/>
      <c r="H17" s="185"/>
      <c r="I17" s="754" t="s">
        <v>38</v>
      </c>
      <c r="J17" s="75"/>
      <c r="K17" s="381" t="s">
        <v>39</v>
      </c>
      <c r="L17" s="15" t="e">
        <f>+IF(Tables_Brokers!H251&gt;0,+Tables_Brokers!H251,"ERROR")</f>
        <v>#N/A</v>
      </c>
      <c r="M17" s="267"/>
      <c r="N17" s="183"/>
      <c r="O17" s="307" t="s">
        <v>31</v>
      </c>
      <c r="P17" s="308"/>
      <c r="Q17" s="424">
        <f>+G14</f>
        <v>0</v>
      </c>
      <c r="R17" s="314"/>
      <c r="T17" s="332">
        <f t="shared" si="12"/>
        <v>0</v>
      </c>
      <c r="U17" s="227" t="b">
        <f t="shared" si="5"/>
        <v>0</v>
      </c>
      <c r="V17" s="227"/>
      <c r="X17" s="228">
        <f t="shared" si="13"/>
        <v>0</v>
      </c>
      <c r="Z17" s="204"/>
      <c r="AA17" s="204"/>
      <c r="AB17" s="204"/>
      <c r="AC17" s="209"/>
      <c r="AT17" s="200"/>
    </row>
    <row r="18" spans="1:50" ht="18" customHeight="1" x14ac:dyDescent="0.2">
      <c r="B18" s="3" t="s">
        <v>26</v>
      </c>
      <c r="C18" s="76">
        <v>0.8</v>
      </c>
      <c r="D18" s="897"/>
      <c r="E18" s="898"/>
      <c r="F18" s="172"/>
      <c r="G18" s="173"/>
      <c r="H18" s="185"/>
      <c r="I18" s="754" t="s">
        <v>40</v>
      </c>
      <c r="J18" s="406" t="s">
        <v>270</v>
      </c>
      <c r="K18" s="560" t="s">
        <v>41</v>
      </c>
      <c r="L18" s="15">
        <f>+IF('Living Expenses'!E32=0,"ERROR",'Living Expenses'!E32)</f>
        <v>1</v>
      </c>
      <c r="M18" s="755" t="s">
        <v>1661</v>
      </c>
      <c r="N18" s="756"/>
      <c r="O18" s="300" t="s">
        <v>33</v>
      </c>
      <c r="P18" s="310">
        <f>+P14</f>
        <v>45838</v>
      </c>
      <c r="Q18" s="315">
        <f>(P17-P18)</f>
        <v>-45838</v>
      </c>
      <c r="R18" s="314"/>
      <c r="T18" s="332">
        <f t="shared" si="12"/>
        <v>0</v>
      </c>
      <c r="U18" s="227" t="b">
        <f t="shared" si="5"/>
        <v>0</v>
      </c>
      <c r="V18" s="227"/>
      <c r="X18" s="228">
        <f t="shared" si="13"/>
        <v>0</v>
      </c>
      <c r="Z18" s="204"/>
      <c r="AA18" s="204"/>
      <c r="AB18" s="204"/>
      <c r="AC18" s="209"/>
    </row>
    <row r="19" spans="1:50" ht="18" customHeight="1" thickBot="1" x14ac:dyDescent="0.25">
      <c r="B19" s="12" t="s">
        <v>29</v>
      </c>
      <c r="C19" s="77">
        <v>0.5</v>
      </c>
      <c r="D19" s="907"/>
      <c r="E19" s="908"/>
      <c r="F19" s="174"/>
      <c r="G19" s="175"/>
      <c r="H19" s="185"/>
      <c r="I19" s="754" t="s">
        <v>42</v>
      </c>
      <c r="J19" s="406" t="s">
        <v>270</v>
      </c>
      <c r="K19" s="383" t="s">
        <v>43</v>
      </c>
      <c r="L19" s="15">
        <f>'Living Expenses'!I32</f>
        <v>1</v>
      </c>
      <c r="M19" s="755" t="s">
        <v>1661</v>
      </c>
      <c r="N19" s="756"/>
      <c r="O19" s="316" t="s">
        <v>35</v>
      </c>
      <c r="P19" s="317">
        <f>ROUNDDOWN(+IF(Q17="",0*Q18,IF(Q17="M",Q18/30.3,IF(Q17="B",Q18/15,IF(Q17="F",Q18/14+1,IF(Q17="W",Q18/7))))),0)</f>
        <v>0</v>
      </c>
      <c r="Q19" s="318"/>
      <c r="R19" s="319"/>
      <c r="S19" s="331" t="str">
        <f>+CONCATENATE(J20,J16,"+",J17)</f>
        <v>+</v>
      </c>
      <c r="T19" s="332">
        <f t="shared" si="12"/>
        <v>0</v>
      </c>
      <c r="U19" s="227" t="b">
        <f t="shared" si="5"/>
        <v>0</v>
      </c>
      <c r="V19" s="227"/>
      <c r="W19" s="204"/>
      <c r="X19" s="228">
        <f t="shared" si="13"/>
        <v>0</v>
      </c>
      <c r="AC19" s="209"/>
    </row>
    <row r="20" spans="1:50" ht="18" customHeight="1" x14ac:dyDescent="0.2">
      <c r="B20" s="149"/>
      <c r="C20" s="396"/>
      <c r="D20" s="397"/>
      <c r="E20" s="397"/>
      <c r="F20" s="398"/>
      <c r="G20" s="399"/>
      <c r="H20" s="185"/>
      <c r="I20" s="754" t="s">
        <v>44</v>
      </c>
      <c r="J20" s="909"/>
      <c r="K20" s="909"/>
      <c r="L20" s="407" t="e">
        <f>IF(L17="ERROR","ERROR",IF(L18="ERROR","ERROR",IF(L19="ERROR","ERROR",+MAX(L17:L19))))</f>
        <v>#N/A</v>
      </c>
      <c r="M20" s="261"/>
      <c r="N20" s="183"/>
      <c r="O20" s="388"/>
      <c r="P20" s="306"/>
      <c r="S20" s="331"/>
      <c r="T20" s="332"/>
      <c r="U20" s="227"/>
      <c r="V20" s="227"/>
      <c r="W20" s="204"/>
      <c r="X20" s="228"/>
      <c r="AC20" s="209"/>
    </row>
    <row r="21" spans="1:50" ht="6" customHeight="1" thickBot="1" x14ac:dyDescent="0.25">
      <c r="B21" s="190"/>
      <c r="C21" s="185"/>
      <c r="D21" s="185"/>
      <c r="E21" s="185"/>
      <c r="F21" s="185"/>
      <c r="G21" s="185"/>
      <c r="H21" s="185"/>
      <c r="I21" s="185"/>
      <c r="J21" s="185"/>
      <c r="K21" s="185"/>
      <c r="L21" s="185"/>
      <c r="M21" s="261"/>
      <c r="N21" s="183"/>
      <c r="T21" s="227"/>
      <c r="U21" s="227"/>
      <c r="V21" s="227"/>
      <c r="AT21" s="210"/>
      <c r="AU21" s="210"/>
      <c r="AV21" s="211"/>
      <c r="AW21" s="211"/>
    </row>
    <row r="22" spans="1:50" ht="18" customHeight="1" thickBot="1" x14ac:dyDescent="0.25">
      <c r="B22" s="894" t="s">
        <v>45</v>
      </c>
      <c r="C22" s="895"/>
      <c r="D22" s="895"/>
      <c r="E22" s="895"/>
      <c r="F22" s="895"/>
      <c r="G22" s="895"/>
      <c r="H22" s="895"/>
      <c r="I22" s="895"/>
      <c r="J22" s="895"/>
      <c r="K22" s="895"/>
      <c r="L22" s="896"/>
      <c r="M22" s="261"/>
      <c r="N22" s="183"/>
      <c r="T22" s="227">
        <f>+T8+T9/C9+T10/C10+T11/C11+T12/C12+T13/C13+T14+T15/C15+T16/C16+T17/C17+T18/C18+T19/C19</f>
        <v>0</v>
      </c>
      <c r="U22" s="227"/>
      <c r="V22" s="227">
        <f>(SUM(V7:V19)-V14)*12</f>
        <v>0</v>
      </c>
      <c r="AT22" s="210"/>
      <c r="AU22" s="210"/>
      <c r="AV22" s="211"/>
      <c r="AW22" s="211"/>
    </row>
    <row r="23" spans="1:50" ht="35.25" customHeight="1" x14ac:dyDescent="0.2">
      <c r="B23" s="391" t="s">
        <v>46</v>
      </c>
      <c r="C23" s="392" t="s">
        <v>47</v>
      </c>
      <c r="D23" s="392" t="s">
        <v>48</v>
      </c>
      <c r="E23" s="392" t="s">
        <v>49</v>
      </c>
      <c r="F23" s="392" t="s">
        <v>50</v>
      </c>
      <c r="G23" s="392" t="s">
        <v>51</v>
      </c>
      <c r="H23" s="392" t="s">
        <v>52</v>
      </c>
      <c r="I23" s="392" t="s">
        <v>53</v>
      </c>
      <c r="J23" s="394" t="e">
        <f>+CONCATENATE("Repay pm ",T24)</f>
        <v>#N/A</v>
      </c>
      <c r="K23" s="392" t="s">
        <v>54</v>
      </c>
      <c r="L23" s="393" t="s">
        <v>55</v>
      </c>
      <c r="M23" s="9" t="s">
        <v>56</v>
      </c>
      <c r="N23" s="415" t="s">
        <v>57</v>
      </c>
      <c r="O23" s="561" t="s">
        <v>58</v>
      </c>
      <c r="S23" s="116" t="s">
        <v>59</v>
      </c>
      <c r="T23" s="214" t="e">
        <f>+IF(J19="Yes",VLOOKUP(D24,Product_NSR,5,FALSE),VLOOKUP(D24,ProductNSR,4,FALSE))</f>
        <v>#N/A</v>
      </c>
      <c r="U23" s="214"/>
      <c r="V23" s="395"/>
      <c r="AT23" s="210"/>
      <c r="AU23" s="210"/>
      <c r="AV23" s="211"/>
      <c r="AW23" s="211"/>
      <c r="AX23" s="212"/>
    </row>
    <row r="24" spans="1:50" ht="18" customHeight="1" x14ac:dyDescent="0.2">
      <c r="A24" s="337" t="e">
        <f>IF(H24="Y","Y","")</f>
        <v>#N/A</v>
      </c>
      <c r="B24" s="3" t="s">
        <v>60</v>
      </c>
      <c r="C24" s="363"/>
      <c r="D24" s="448"/>
      <c r="E24" s="411" t="e">
        <f>+VLOOKUP(D24,Tables_Brokers!Rates_Broker,3,FALSE)</f>
        <v>#N/A</v>
      </c>
      <c r="F24" s="4" t="s">
        <v>61</v>
      </c>
      <c r="G24" s="87"/>
      <c r="H24" s="436" t="e">
        <f>+VLOOKUP(D24,Tables!A155:F268,6,FALSE)</f>
        <v>#N/A</v>
      </c>
      <c r="I24" s="5" t="e">
        <f>+IF(C24=0,0,IF(D24="Flexicredit",C24*0.05,IF(D24="Credit Card",-PMT(E24/12,36,C24,0),-PMT(E24/12,G24,C24,0))))+P24</f>
        <v>#N/A</v>
      </c>
      <c r="J24" s="5" t="e">
        <f>+IF(C24=0,0,IF(D24="Flexicredit",C24*0.05,IF(D24="Credit Card",-PMT(E24/12,36,C24,0),-PMT($T$24/12,G24,C24,0))))+P24</f>
        <v>#N/A</v>
      </c>
      <c r="K24" s="411" t="str">
        <f>+IF(L24=0," ",C24/L24)</f>
        <v xml:space="preserve"> </v>
      </c>
      <c r="L24" s="83"/>
      <c r="M24" s="328" t="e">
        <f>IF(H24="IO",+J24-I24,IF(J19="YES",J24-V24,0))</f>
        <v>#N/A</v>
      </c>
      <c r="N24" s="327"/>
      <c r="O24" s="414" t="e">
        <f>+IF(J24&gt;I24,J24/I24,"")</f>
        <v>#N/A</v>
      </c>
      <c r="P24" s="437" t="e">
        <f>+VLOOKUP(D24,Tables!A155:G268,7,FALSE)</f>
        <v>#N/A</v>
      </c>
      <c r="S24" s="116" t="e">
        <f t="shared" ref="S24:S34" si="14">+IF(F24="MOVE",IF(A24="Y",0,C24))</f>
        <v>#N/A</v>
      </c>
      <c r="T24" s="214" t="e">
        <f>+IF($J$19="","ERROR",IF($J$19="Yes",VLOOKUP($D$24,Tables_Brokers!Product_NSR,5,FALSE),VLOOKUP($D$24,Tables_Brokers!Product_NSR,4,FALSE)))</f>
        <v>#N/A</v>
      </c>
      <c r="U24" s="214" t="e">
        <f>+VLOOKUP($D$24,Product_NSR,4,FALSE)</f>
        <v>#N/A</v>
      </c>
      <c r="V24" s="400" t="e">
        <f>-PMT($U$24/12,G24,C24,0)</f>
        <v>#N/A</v>
      </c>
      <c r="W24" s="214" t="e">
        <f>+T24-E24</f>
        <v>#N/A</v>
      </c>
      <c r="AS24" s="211"/>
      <c r="AT24" s="210"/>
      <c r="AU24" s="210"/>
    </row>
    <row r="25" spans="1:50" ht="18" customHeight="1" x14ac:dyDescent="0.2">
      <c r="A25" s="337" t="str">
        <f>IF(H25="Y","Y","")</f>
        <v/>
      </c>
      <c r="B25" s="3" t="s">
        <v>62</v>
      </c>
      <c r="C25" s="364"/>
      <c r="D25" s="81"/>
      <c r="E25" s="80"/>
      <c r="F25" s="81"/>
      <c r="G25" s="79"/>
      <c r="H25" s="128"/>
      <c r="I25" s="6">
        <f>+IF(C25=0,0,IF(H25="Y",0,IF(H25=0.5,-(PMT(E25/12,G25,C25,0)*H25),-(PMT(E25/12,G25,C25,0)))))</f>
        <v>0</v>
      </c>
      <c r="J25" s="6">
        <f>+IF(C25=0,0,+IF(H25="Y",0,IF(H25=0.5,-(PMT(T25/12,G25,C25,0)*H25),-(PMT(T25/12,G25,C25,0)))))</f>
        <v>0</v>
      </c>
      <c r="K25" s="7">
        <f>+IF(C25=0,0,C25/L25)</f>
        <v>0</v>
      </c>
      <c r="L25" s="83"/>
      <c r="M25" s="329">
        <f>+J25-I25</f>
        <v>0</v>
      </c>
      <c r="N25" s="327"/>
      <c r="O25" s="414" t="str">
        <f t="shared" ref="O25:O28" si="15">+IF(J25&gt;I25,J25/I25,"")</f>
        <v/>
      </c>
      <c r="P25" s="215"/>
      <c r="S25" s="116" t="b">
        <f t="shared" si="14"/>
        <v>0</v>
      </c>
      <c r="T25" s="214">
        <f>IF((E25+Tables_Brokers!$C$131)&lt;Tables_Brokers!$C$132,Tables_Brokers!$C$132,E25+Tables_Brokers!$C$131)</f>
        <v>5.5E-2</v>
      </c>
      <c r="U25" s="216"/>
      <c r="AN25" s="217"/>
    </row>
    <row r="26" spans="1:50" ht="18" customHeight="1" x14ac:dyDescent="0.2">
      <c r="A26" s="337" t="str">
        <f t="shared" ref="A26:A39" si="16">IF(H26="Y","Y","")</f>
        <v/>
      </c>
      <c r="B26" s="269" t="s">
        <v>62</v>
      </c>
      <c r="C26" s="364"/>
      <c r="D26" s="81"/>
      <c r="E26" s="80"/>
      <c r="F26" s="81"/>
      <c r="G26" s="79"/>
      <c r="H26" s="128"/>
      <c r="I26" s="6">
        <f>+IF(C26=0,0,IF(H26="Y",0,IF(H26=0.5,-(PMT(E26/12,G26,C26,0)*H26),-(PMT(E26/12,G26,C26,0)))))</f>
        <v>0</v>
      </c>
      <c r="J26" s="6">
        <f>+IF(C26=0,0,+IF(H26="Y",0,IF(H26=0.5,-(PMT(T26/12,G26,C26,0)*H26),-(PMT(T26/12,G26,C26,0)))))</f>
        <v>0</v>
      </c>
      <c r="K26" s="7">
        <f>+IF(C26=0,0,C26/L26)</f>
        <v>0</v>
      </c>
      <c r="L26" s="83"/>
      <c r="M26" s="329">
        <f t="shared" ref="M26:M28" si="17">+J26-I26</f>
        <v>0</v>
      </c>
      <c r="N26" s="327"/>
      <c r="O26" s="414" t="str">
        <f t="shared" si="15"/>
        <v/>
      </c>
      <c r="P26" s="215"/>
      <c r="S26" s="116" t="b">
        <f t="shared" si="14"/>
        <v>0</v>
      </c>
      <c r="T26" s="214">
        <f>IF((E26+Tables_Brokers!$C$131)&lt;Tables_Brokers!$C$132,Tables_Brokers!$C$132,E26+Tables_Brokers!$C$131)</f>
        <v>5.5E-2</v>
      </c>
      <c r="U26" s="216"/>
    </row>
    <row r="27" spans="1:50" ht="18" customHeight="1" x14ac:dyDescent="0.2">
      <c r="A27" s="337" t="str">
        <f t="shared" si="16"/>
        <v/>
      </c>
      <c r="B27" s="269" t="s">
        <v>63</v>
      </c>
      <c r="C27" s="364"/>
      <c r="D27" s="81"/>
      <c r="E27" s="80"/>
      <c r="F27" s="81"/>
      <c r="G27" s="79"/>
      <c r="H27" s="128"/>
      <c r="I27" s="6">
        <f>+IF(C27=0,0,IF(H27="Y",0,IF(H27=0.5,-(PMT(E27/12,G27,C27,0)*H27),-(PMT(E27/12,G27,C27,0)))))</f>
        <v>0</v>
      </c>
      <c r="J27" s="6">
        <f>+IF(C27=0,0,+IF(H27="Y",0,IF(H27=0.5,-(PMT(T27/12,G27,C27,0)*H27),-(PMT(T27/12,G27,C27,0)))))</f>
        <v>0</v>
      </c>
      <c r="K27" s="7">
        <f>+IF(C27=0,0,C27/L27)</f>
        <v>0</v>
      </c>
      <c r="L27" s="83"/>
      <c r="M27" s="329">
        <f t="shared" si="17"/>
        <v>0</v>
      </c>
      <c r="N27" s="327"/>
      <c r="O27" s="414" t="str">
        <f t="shared" si="15"/>
        <v/>
      </c>
      <c r="P27" s="215"/>
      <c r="R27" s="213"/>
      <c r="S27" s="116" t="b">
        <f t="shared" si="14"/>
        <v>0</v>
      </c>
      <c r="T27" s="214">
        <f>IF((E27+Tables_Brokers!$C$131)&lt;Tables_Brokers!$C$132,Tables_Brokers!$C$132,E27+Tables_Brokers!$C$131)</f>
        <v>5.5E-2</v>
      </c>
      <c r="U27" s="216"/>
      <c r="AN27" s="216"/>
    </row>
    <row r="28" spans="1:50" ht="18" customHeight="1" x14ac:dyDescent="0.2">
      <c r="A28" s="337" t="str">
        <f t="shared" si="16"/>
        <v/>
      </c>
      <c r="B28" s="269" t="s">
        <v>63</v>
      </c>
      <c r="C28" s="364"/>
      <c r="D28" s="81"/>
      <c r="E28" s="80"/>
      <c r="F28" s="81"/>
      <c r="G28" s="79"/>
      <c r="H28" s="128"/>
      <c r="I28" s="6">
        <f>+IF(C28=0,0,IF(H28="Y",0,IF(H28=0.5,-(PMT(E28/12,G28,C28,0)*H28),-(PMT(E28/12,G28,C28,0)))))</f>
        <v>0</v>
      </c>
      <c r="J28" s="6">
        <f>+IF(C28=0,0,+IF(H28="Y",0,IF(H28=0.5,-(PMT(T28/12,G28,C28,0)*H28),-(PMT(T28/12,G28,C28,0)))))</f>
        <v>0</v>
      </c>
      <c r="K28" s="7">
        <f>+IF(C28=0,0,C28/L28)</f>
        <v>0</v>
      </c>
      <c r="L28" s="83"/>
      <c r="M28" s="329">
        <f t="shared" si="17"/>
        <v>0</v>
      </c>
      <c r="N28" s="327"/>
      <c r="O28" s="414" t="str">
        <f t="shared" si="15"/>
        <v/>
      </c>
      <c r="P28" s="215"/>
      <c r="R28" s="213"/>
      <c r="S28" s="116" t="b">
        <f t="shared" si="14"/>
        <v>0</v>
      </c>
      <c r="T28" s="214">
        <f>IF((E28+Tables_Brokers!$C$131)&lt;Tables_Brokers!$C$132,Tables_Brokers!$C$132,E28+Tables_Brokers!$C$131)</f>
        <v>5.5E-2</v>
      </c>
      <c r="U28" s="216"/>
    </row>
    <row r="29" spans="1:50" ht="18" customHeight="1" x14ac:dyDescent="0.2">
      <c r="A29" s="337" t="str">
        <f t="shared" si="16"/>
        <v/>
      </c>
      <c r="B29" s="8" t="s">
        <v>64</v>
      </c>
      <c r="C29" s="364"/>
      <c r="D29" s="260"/>
      <c r="E29" s="82"/>
      <c r="F29" s="81"/>
      <c r="G29" s="96"/>
      <c r="H29" s="129"/>
      <c r="I29" s="6">
        <f>+IF(H29="Y",0,T29)</f>
        <v>0</v>
      </c>
      <c r="J29" s="6">
        <f t="shared" ref="J29:J39" si="18">+I29</f>
        <v>0</v>
      </c>
      <c r="K29" s="98"/>
      <c r="L29" s="97"/>
      <c r="N29" s="327"/>
      <c r="P29" s="215"/>
      <c r="R29" s="208"/>
      <c r="S29" s="116" t="b">
        <f t="shared" si="14"/>
        <v>0</v>
      </c>
      <c r="T29" s="199">
        <f>+IF(D29="",E29*0,IF(D29="A",E29/12,IF(D29="M",E29,IF(D29="B",E29*24/12,IF(D29="F",E29*26/12,IF(D29="W",E29*52/12))))))*U29</f>
        <v>0</v>
      </c>
      <c r="U29" s="116" t="b">
        <f t="shared" ref="U29:U34" si="19">+IF(E29&gt;0,IF(D29="","Error",1))</f>
        <v>0</v>
      </c>
      <c r="V29" s="208"/>
      <c r="W29" s="208"/>
      <c r="AC29" s="208"/>
      <c r="AD29" s="208"/>
      <c r="AE29" s="208"/>
      <c r="AF29" s="208"/>
      <c r="AG29" s="208"/>
      <c r="AH29" s="208"/>
      <c r="AI29" s="208"/>
      <c r="AJ29" s="208"/>
      <c r="AK29" s="208"/>
      <c r="AL29" s="208"/>
      <c r="AM29" s="208"/>
      <c r="AN29" s="208"/>
      <c r="AO29" s="208"/>
      <c r="AP29" s="218"/>
      <c r="AQ29" s="208"/>
      <c r="AR29" s="208"/>
    </row>
    <row r="30" spans="1:50" ht="18" customHeight="1" x14ac:dyDescent="0.2">
      <c r="A30" s="337" t="str">
        <f t="shared" si="16"/>
        <v/>
      </c>
      <c r="B30" s="270" t="s">
        <v>64</v>
      </c>
      <c r="C30" s="364"/>
      <c r="D30" s="260"/>
      <c r="E30" s="82"/>
      <c r="F30" s="81"/>
      <c r="G30" s="96"/>
      <c r="H30" s="129"/>
      <c r="I30" s="6">
        <f>+IF(H30="Y",0,T30)</f>
        <v>0</v>
      </c>
      <c r="J30" s="6">
        <f t="shared" si="18"/>
        <v>0</v>
      </c>
      <c r="K30" s="98"/>
      <c r="L30" s="97"/>
      <c r="N30" s="327"/>
      <c r="P30" s="215"/>
      <c r="R30" s="208"/>
      <c r="S30" s="116" t="b">
        <f t="shared" si="14"/>
        <v>0</v>
      </c>
      <c r="T30" s="199">
        <f>+IF(D30="",E30*0,IF(D30="A",E30/12,IF(D30="M",E30,IF(D30="B",E30*24/12,IF(D30="F",E30*26/12,IF(D30="W",E30*52/12))))))*U30</f>
        <v>0</v>
      </c>
      <c r="U30" s="116" t="b">
        <f t="shared" si="19"/>
        <v>0</v>
      </c>
      <c r="V30" s="208"/>
      <c r="W30" s="208"/>
      <c r="AC30" s="208"/>
      <c r="AD30" s="208"/>
      <c r="AE30" s="208"/>
      <c r="AF30" s="208"/>
      <c r="AG30" s="208"/>
      <c r="AH30" s="208"/>
      <c r="AI30" s="208"/>
      <c r="AJ30" s="208"/>
      <c r="AK30" s="208"/>
      <c r="AL30" s="208"/>
      <c r="AM30" s="208"/>
      <c r="AN30" s="208"/>
      <c r="AO30" s="208"/>
      <c r="AP30" s="218"/>
      <c r="AQ30" s="208"/>
      <c r="AR30" s="208"/>
    </row>
    <row r="31" spans="1:50" ht="18" customHeight="1" x14ac:dyDescent="0.2">
      <c r="A31" s="337" t="str">
        <f t="shared" si="16"/>
        <v/>
      </c>
      <c r="B31" s="3" t="s">
        <v>65</v>
      </c>
      <c r="C31" s="364"/>
      <c r="D31" s="260"/>
      <c r="E31" s="82"/>
      <c r="F31" s="81"/>
      <c r="G31" s="96"/>
      <c r="H31" s="129"/>
      <c r="I31" s="6">
        <f>+IF(H31="Y",0,T31)</f>
        <v>0</v>
      </c>
      <c r="J31" s="6">
        <f t="shared" si="18"/>
        <v>0</v>
      </c>
      <c r="K31" s="96"/>
      <c r="L31" s="97"/>
      <c r="N31" s="327"/>
      <c r="P31" s="215"/>
      <c r="R31" s="208"/>
      <c r="S31" s="116" t="b">
        <f t="shared" si="14"/>
        <v>0</v>
      </c>
      <c r="T31" s="199">
        <f>+IF(D31="",E31*0,IF(D31="A",E31/12,IF(D31="M",E31,IF(D31="B",E31*24/12,IF(D31="F",E31*26/12,IF(D31="W",E31*52/12))))))*U31</f>
        <v>0</v>
      </c>
      <c r="U31" s="116" t="b">
        <f t="shared" si="19"/>
        <v>0</v>
      </c>
      <c r="AC31" s="208"/>
      <c r="AD31" s="208"/>
      <c r="AE31" s="208"/>
      <c r="AF31" s="208"/>
      <c r="AG31" s="208"/>
      <c r="AH31" s="208"/>
      <c r="AI31" s="208"/>
      <c r="AJ31" s="208"/>
      <c r="AK31" s="208"/>
      <c r="AL31" s="208"/>
      <c r="AM31" s="208"/>
      <c r="AN31" s="208"/>
      <c r="AO31" s="208"/>
      <c r="AP31" s="218"/>
      <c r="AQ31" s="208"/>
      <c r="AR31" s="208"/>
    </row>
    <row r="32" spans="1:50" ht="18" customHeight="1" x14ac:dyDescent="0.2">
      <c r="A32" s="337" t="str">
        <f t="shared" si="16"/>
        <v/>
      </c>
      <c r="B32" s="16" t="s">
        <v>66</v>
      </c>
      <c r="C32" s="93" t="str">
        <f>+CONCATENATE("Min. $",Tables_Brokers!C319," pm")</f>
        <v>Min. $500 pm</v>
      </c>
      <c r="D32" s="260"/>
      <c r="E32" s="82"/>
      <c r="F32" s="81"/>
      <c r="G32" s="99"/>
      <c r="H32" s="128"/>
      <c r="I32" s="6">
        <f>+IF(E32="",0,IF(T32&lt;Tables_Brokers!C319,Tables_Brokers!C319,IF(H32=0.5,T32*0.5,T32)))</f>
        <v>0</v>
      </c>
      <c r="J32" s="6">
        <f t="shared" si="18"/>
        <v>0</v>
      </c>
      <c r="K32" s="96"/>
      <c r="L32" s="97"/>
      <c r="N32" s="327"/>
      <c r="O32" s="115"/>
      <c r="P32" s="215"/>
      <c r="R32" s="208"/>
      <c r="T32" s="199">
        <f t="shared" ref="T32:T34" si="20">+IF(D32="",E32*0,IF(D32="A",E32/12,IF(D32="M",E32,IF(D32="B",E32*24/12,IF(D32="F",E32*26/12,IF(D32="W",E32*52/12))))))*U32</f>
        <v>0</v>
      </c>
      <c r="U32" s="116" t="b">
        <f t="shared" si="19"/>
        <v>0</v>
      </c>
      <c r="AC32" s="208"/>
      <c r="AD32" s="208"/>
      <c r="AE32" s="208"/>
      <c r="AF32" s="208"/>
      <c r="AG32" s="208"/>
      <c r="AH32" s="208"/>
      <c r="AI32" s="208"/>
      <c r="AJ32" s="208"/>
      <c r="AK32" s="208"/>
      <c r="AL32" s="208"/>
      <c r="AM32" s="208"/>
      <c r="AN32" s="208"/>
      <c r="AO32" s="208"/>
      <c r="AP32" s="218"/>
      <c r="AQ32" s="208"/>
      <c r="AR32" s="208"/>
    </row>
    <row r="33" spans="1:44" ht="18" customHeight="1" x14ac:dyDescent="0.2">
      <c r="A33" s="337" t="str">
        <f t="shared" si="16"/>
        <v/>
      </c>
      <c r="B33" s="3" t="s">
        <v>67</v>
      </c>
      <c r="C33" s="78"/>
      <c r="D33" s="260"/>
      <c r="E33" s="82"/>
      <c r="F33" s="81"/>
      <c r="G33" s="96"/>
      <c r="H33" s="129"/>
      <c r="I33" s="6">
        <f>T33</f>
        <v>0</v>
      </c>
      <c r="J33" s="6">
        <f>+I33</f>
        <v>0</v>
      </c>
      <c r="K33" s="96"/>
      <c r="L33" s="97"/>
      <c r="N33" s="327"/>
      <c r="O33" s="115"/>
      <c r="P33" s="219"/>
      <c r="R33" s="208"/>
      <c r="S33" s="116" t="b">
        <f t="shared" si="14"/>
        <v>0</v>
      </c>
      <c r="T33" s="199">
        <f t="shared" si="20"/>
        <v>0</v>
      </c>
      <c r="U33" s="116" t="b">
        <f t="shared" si="19"/>
        <v>0</v>
      </c>
      <c r="V33" s="412"/>
      <c r="W33" s="208"/>
      <c r="AC33" s="208"/>
      <c r="AD33" s="208"/>
      <c r="AE33" s="208"/>
      <c r="AF33" s="208"/>
      <c r="AG33" s="208"/>
      <c r="AH33" s="208"/>
      <c r="AI33" s="208"/>
      <c r="AJ33" s="208"/>
      <c r="AK33" s="208"/>
      <c r="AL33" s="208"/>
      <c r="AM33" s="208"/>
      <c r="AN33" s="208"/>
      <c r="AO33" s="208"/>
      <c r="AP33" s="218"/>
      <c r="AQ33" s="208"/>
      <c r="AR33" s="208"/>
    </row>
    <row r="34" spans="1:44" ht="18" customHeight="1" x14ac:dyDescent="0.2">
      <c r="A34" s="337" t="str">
        <f t="shared" si="16"/>
        <v/>
      </c>
      <c r="B34" s="3" t="s">
        <v>67</v>
      </c>
      <c r="C34" s="78"/>
      <c r="D34" s="260"/>
      <c r="E34" s="82"/>
      <c r="F34" s="81"/>
      <c r="G34" s="96"/>
      <c r="H34" s="129"/>
      <c r="I34" s="6">
        <f>T34</f>
        <v>0</v>
      </c>
      <c r="J34" s="6">
        <f>+I34</f>
        <v>0</v>
      </c>
      <c r="K34" s="96"/>
      <c r="L34" s="97"/>
      <c r="N34" s="327"/>
      <c r="O34" s="115"/>
      <c r="P34" s="219"/>
      <c r="R34" s="208"/>
      <c r="S34" s="116" t="b">
        <f t="shared" si="14"/>
        <v>0</v>
      </c>
      <c r="T34" s="199">
        <f t="shared" si="20"/>
        <v>0</v>
      </c>
      <c r="U34" s="116" t="b">
        <f t="shared" si="19"/>
        <v>0</v>
      </c>
      <c r="V34" s="412"/>
      <c r="W34" s="208"/>
      <c r="AC34" s="208"/>
      <c r="AD34" s="208"/>
      <c r="AE34" s="208"/>
      <c r="AF34" s="208"/>
      <c r="AG34" s="208"/>
      <c r="AH34" s="208"/>
      <c r="AI34" s="208"/>
      <c r="AJ34" s="208"/>
      <c r="AK34" s="208"/>
      <c r="AL34" s="208"/>
      <c r="AM34" s="208"/>
      <c r="AN34" s="208"/>
      <c r="AO34" s="208"/>
      <c r="AP34" s="218"/>
      <c r="AQ34" s="208"/>
      <c r="AR34" s="208"/>
    </row>
    <row r="35" spans="1:44" ht="18" customHeight="1" x14ac:dyDescent="0.2">
      <c r="A35" s="337" t="str">
        <f t="shared" si="16"/>
        <v/>
      </c>
      <c r="B35" s="269" t="s">
        <v>68</v>
      </c>
      <c r="C35" s="78"/>
      <c r="D35" s="161">
        <f>+IF(B35="overdraft",5%,3.8%)</f>
        <v>0.05</v>
      </c>
      <c r="E35" s="82"/>
      <c r="F35" s="81"/>
      <c r="G35" s="96"/>
      <c r="H35" s="129"/>
      <c r="I35" s="6">
        <f>+IF(H35="Y",0,E35*D35)</f>
        <v>0</v>
      </c>
      <c r="J35" s="6">
        <f t="shared" si="18"/>
        <v>0</v>
      </c>
      <c r="K35" s="96"/>
      <c r="L35" s="97"/>
      <c r="N35" s="327"/>
      <c r="P35" s="219"/>
      <c r="R35" s="208"/>
      <c r="S35" s="116" t="b">
        <f>+IF(F35="MOVE",IF(A35="Y",0,E35))</f>
        <v>0</v>
      </c>
      <c r="W35" s="208"/>
      <c r="AC35" s="208"/>
      <c r="AD35" s="208"/>
      <c r="AE35" s="208"/>
      <c r="AF35" s="208"/>
      <c r="AG35" s="208"/>
      <c r="AH35" s="208"/>
      <c r="AI35" s="208"/>
      <c r="AJ35" s="208"/>
      <c r="AK35" s="208"/>
      <c r="AL35" s="208"/>
      <c r="AM35" s="208"/>
      <c r="AN35" s="208"/>
      <c r="AO35" s="208"/>
      <c r="AP35" s="218"/>
      <c r="AQ35" s="208"/>
      <c r="AR35" s="208"/>
    </row>
    <row r="36" spans="1:44" ht="18" customHeight="1" x14ac:dyDescent="0.2">
      <c r="A36" s="337" t="str">
        <f t="shared" si="16"/>
        <v/>
      </c>
      <c r="B36" s="3" t="s">
        <v>69</v>
      </c>
      <c r="C36" s="78"/>
      <c r="D36" s="161">
        <v>3.7999999999999999E-2</v>
      </c>
      <c r="E36" s="82"/>
      <c r="F36" s="81"/>
      <c r="G36" s="96"/>
      <c r="H36" s="129"/>
      <c r="I36" s="6">
        <f>+IF(H36="Y",0,IF(AND(H36="Exc",C36=0),0,D36*E36))</f>
        <v>0</v>
      </c>
      <c r="J36" s="6">
        <f t="shared" si="18"/>
        <v>0</v>
      </c>
      <c r="K36" s="96"/>
      <c r="L36" s="97"/>
      <c r="M36" s="220"/>
      <c r="N36" s="327"/>
      <c r="O36" s="221"/>
      <c r="P36" s="219"/>
      <c r="Q36" s="221"/>
      <c r="R36" s="221"/>
      <c r="S36" s="116" t="b">
        <f t="shared" ref="S36:S39" si="21">+IF(F36="MOVE",IF(A36="Y",0,E36))</f>
        <v>0</v>
      </c>
      <c r="T36" s="221"/>
      <c r="U36" s="221"/>
      <c r="V36" s="221"/>
      <c r="W36" s="221"/>
      <c r="AC36" s="208"/>
      <c r="AD36" s="208"/>
      <c r="AE36" s="208"/>
      <c r="AF36" s="208"/>
      <c r="AG36" s="208"/>
      <c r="AH36" s="208"/>
      <c r="AI36" s="208"/>
      <c r="AJ36" s="208"/>
      <c r="AK36" s="208"/>
      <c r="AL36" s="208"/>
      <c r="AM36" s="208"/>
      <c r="AN36" s="208"/>
      <c r="AO36" s="208"/>
      <c r="AP36" s="218"/>
      <c r="AQ36" s="208"/>
      <c r="AR36" s="208"/>
    </row>
    <row r="37" spans="1:44" ht="18" customHeight="1" x14ac:dyDescent="0.2">
      <c r="A37" s="337" t="str">
        <f t="shared" si="16"/>
        <v/>
      </c>
      <c r="B37" s="3" t="s">
        <v>69</v>
      </c>
      <c r="C37" s="78"/>
      <c r="D37" s="161">
        <v>3.7999999999999999E-2</v>
      </c>
      <c r="E37" s="82"/>
      <c r="F37" s="81"/>
      <c r="G37" s="96"/>
      <c r="H37" s="129"/>
      <c r="I37" s="6">
        <f>+IF(H37="Y",0,IF(AND(H37="Exc",C37=0),0,D37*E37))</f>
        <v>0</v>
      </c>
      <c r="J37" s="6">
        <f t="shared" si="18"/>
        <v>0</v>
      </c>
      <c r="K37" s="96"/>
      <c r="L37" s="97"/>
      <c r="M37" s="220"/>
      <c r="N37" s="327"/>
      <c r="O37" s="221"/>
      <c r="P37" s="219"/>
      <c r="Q37" s="221"/>
      <c r="R37" s="221"/>
      <c r="S37" s="116" t="b">
        <f t="shared" si="21"/>
        <v>0</v>
      </c>
      <c r="T37" s="221"/>
      <c r="U37" s="221"/>
      <c r="V37" s="221"/>
      <c r="W37" s="221"/>
      <c r="AC37" s="208"/>
      <c r="AD37" s="208"/>
      <c r="AE37" s="208"/>
      <c r="AF37" s="208"/>
      <c r="AG37" s="208"/>
      <c r="AH37" s="208"/>
      <c r="AI37" s="208"/>
      <c r="AJ37" s="208"/>
      <c r="AK37" s="208"/>
      <c r="AL37" s="208"/>
      <c r="AM37" s="208"/>
      <c r="AN37" s="208"/>
      <c r="AO37" s="208"/>
      <c r="AP37" s="218"/>
      <c r="AQ37" s="208"/>
      <c r="AR37" s="208"/>
    </row>
    <row r="38" spans="1:44" ht="18" customHeight="1" x14ac:dyDescent="0.2">
      <c r="A38" s="337" t="str">
        <f t="shared" si="16"/>
        <v/>
      </c>
      <c r="B38" s="3" t="s">
        <v>69</v>
      </c>
      <c r="C38" s="78"/>
      <c r="D38" s="161">
        <v>3.7999999999999999E-2</v>
      </c>
      <c r="E38" s="82"/>
      <c r="F38" s="81"/>
      <c r="G38" s="96"/>
      <c r="H38" s="129"/>
      <c r="I38" s="6">
        <f>+IF(H38="Y",0,IF(AND(H38="Exc",C38=0),0,D38*E38))</f>
        <v>0</v>
      </c>
      <c r="J38" s="6">
        <f t="shared" si="18"/>
        <v>0</v>
      </c>
      <c r="K38" s="96"/>
      <c r="L38" s="97"/>
      <c r="M38" s="220"/>
      <c r="N38" s="327"/>
      <c r="O38" s="221"/>
      <c r="P38" s="219"/>
      <c r="Q38" s="221"/>
      <c r="R38" s="221"/>
      <c r="S38" s="116" t="b">
        <f t="shared" si="21"/>
        <v>0</v>
      </c>
      <c r="U38" s="221"/>
      <c r="V38" s="221"/>
      <c r="W38" s="221"/>
      <c r="AC38" s="208"/>
      <c r="AD38" s="208"/>
      <c r="AE38" s="208"/>
      <c r="AF38" s="208"/>
      <c r="AG38" s="208"/>
      <c r="AH38" s="208"/>
      <c r="AI38" s="208"/>
      <c r="AJ38" s="208"/>
      <c r="AK38" s="208"/>
      <c r="AL38" s="208"/>
      <c r="AM38" s="208"/>
      <c r="AN38" s="208"/>
      <c r="AO38" s="208"/>
      <c r="AP38" s="218"/>
      <c r="AQ38" s="208"/>
      <c r="AR38" s="208"/>
    </row>
    <row r="39" spans="1:44" ht="18" customHeight="1" x14ac:dyDescent="0.2">
      <c r="A39" s="337" t="str">
        <f t="shared" si="16"/>
        <v/>
      </c>
      <c r="B39" s="88" t="s">
        <v>69</v>
      </c>
      <c r="C39" s="78"/>
      <c r="D39" s="161">
        <v>3.7999999999999999E-2</v>
      </c>
      <c r="E39" s="82"/>
      <c r="F39" s="81"/>
      <c r="G39" s="96"/>
      <c r="H39" s="129"/>
      <c r="I39" s="6">
        <f>+IF(H39="Y",0,IF(AND(H39="Exc",C39=0),0,D39*E39))</f>
        <v>0</v>
      </c>
      <c r="J39" s="6">
        <f t="shared" si="18"/>
        <v>0</v>
      </c>
      <c r="K39" s="96"/>
      <c r="L39" s="97"/>
      <c r="M39" s="220"/>
      <c r="N39" s="327"/>
      <c r="O39" s="221"/>
      <c r="P39" s="215"/>
      <c r="Q39" s="221"/>
      <c r="R39" s="221"/>
      <c r="S39" s="116" t="b">
        <f t="shared" si="21"/>
        <v>0</v>
      </c>
      <c r="U39" s="222"/>
      <c r="V39" s="221"/>
      <c r="W39" s="221"/>
      <c r="AC39" s="208"/>
      <c r="AD39" s="208"/>
      <c r="AE39" s="208"/>
      <c r="AF39" s="208"/>
      <c r="AG39" s="208"/>
      <c r="AH39" s="208"/>
      <c r="AI39" s="208"/>
      <c r="AJ39" s="208"/>
      <c r="AK39" s="208"/>
      <c r="AL39" s="208"/>
      <c r="AM39" s="208"/>
      <c r="AN39" s="208"/>
      <c r="AO39" s="208"/>
      <c r="AP39" s="218"/>
      <c r="AQ39" s="208"/>
      <c r="AR39" s="208"/>
    </row>
    <row r="40" spans="1:44" ht="17.25" customHeight="1" thickBot="1" x14ac:dyDescent="0.25">
      <c r="B40" s="253" t="s">
        <v>70</v>
      </c>
      <c r="C40" s="254">
        <f>SUMIF(A24:A39,"",C24:C39)</f>
        <v>0</v>
      </c>
      <c r="D40" s="882" t="s">
        <v>71</v>
      </c>
      <c r="E40" s="883"/>
      <c r="F40" s="255" t="e">
        <f>+S40</f>
        <v>#N/A</v>
      </c>
      <c r="G40" s="884" t="s">
        <v>72</v>
      </c>
      <c r="H40" s="885"/>
      <c r="I40" s="256" t="e">
        <f>SUM(+SUM(I24:I39))</f>
        <v>#N/A</v>
      </c>
      <c r="J40" s="257" t="e">
        <f>SUM(+SUM(J24:J39))</f>
        <v>#N/A</v>
      </c>
      <c r="K40" s="259" t="s">
        <v>73</v>
      </c>
      <c r="L40" s="258">
        <f>+SUMIF(F24:F28,"MOVE",L24:L28)</f>
        <v>0</v>
      </c>
      <c r="M40" s="223"/>
      <c r="N40" s="183"/>
      <c r="O40" s="183"/>
      <c r="P40" s="272"/>
      <c r="Q40" s="183"/>
      <c r="R40" s="218"/>
      <c r="S40" s="116" t="e">
        <f>SUM(S24:S39)</f>
        <v>#N/A</v>
      </c>
      <c r="T40" s="183" t="s">
        <v>74</v>
      </c>
      <c r="U40" s="183" t="s">
        <v>75</v>
      </c>
      <c r="V40" s="218"/>
      <c r="W40" s="218"/>
      <c r="X40" s="183"/>
      <c r="Y40" s="183"/>
      <c r="Z40" s="183"/>
      <c r="AA40" s="183"/>
      <c r="AB40" s="183"/>
      <c r="AC40" s="218"/>
      <c r="AD40" s="218"/>
      <c r="AE40" s="218"/>
      <c r="AF40" s="218"/>
      <c r="AG40" s="218"/>
      <c r="AH40" s="218"/>
      <c r="AI40" s="218"/>
      <c r="AJ40" s="218"/>
      <c r="AK40" s="218"/>
      <c r="AL40" s="218"/>
      <c r="AM40" s="218"/>
      <c r="AN40" s="218"/>
      <c r="AO40" s="218"/>
      <c r="AP40" s="224"/>
      <c r="AQ40" s="218"/>
      <c r="AR40" s="208"/>
    </row>
    <row r="41" spans="1:44" ht="5.25" customHeight="1" thickBot="1" x14ac:dyDescent="0.25">
      <c r="B41" s="190"/>
      <c r="C41" s="185"/>
      <c r="D41" s="185"/>
      <c r="E41" s="185"/>
      <c r="F41" s="185"/>
      <c r="G41" s="185"/>
      <c r="H41" s="185"/>
      <c r="I41" s="185"/>
      <c r="J41" s="185"/>
      <c r="K41" s="185"/>
      <c r="L41" s="246"/>
      <c r="N41" s="183"/>
      <c r="O41" s="274" t="s">
        <v>76</v>
      </c>
      <c r="P41" s="272"/>
      <c r="Q41" s="183"/>
      <c r="R41" s="218"/>
      <c r="S41" s="183"/>
      <c r="T41" s="183"/>
      <c r="U41" s="183"/>
      <c r="V41" s="183"/>
      <c r="W41" s="183"/>
      <c r="X41" s="183"/>
      <c r="Y41" s="183"/>
      <c r="Z41" s="183"/>
      <c r="AA41" s="183"/>
      <c r="AB41" s="183"/>
      <c r="AC41" s="218"/>
      <c r="AD41" s="218"/>
      <c r="AE41" s="218"/>
      <c r="AF41" s="218"/>
      <c r="AG41" s="218"/>
      <c r="AH41" s="218"/>
      <c r="AI41" s="218"/>
      <c r="AJ41" s="218"/>
      <c r="AK41" s="218"/>
      <c r="AL41" s="218"/>
      <c r="AM41" s="218"/>
      <c r="AN41" s="218"/>
      <c r="AO41" s="218"/>
      <c r="AP41" s="218"/>
      <c r="AQ41" s="218"/>
      <c r="AR41" s="208"/>
    </row>
    <row r="42" spans="1:44" ht="18" customHeight="1" x14ac:dyDescent="0.2">
      <c r="B42" s="839" t="s">
        <v>77</v>
      </c>
      <c r="C42" s="857"/>
      <c r="D42" s="857"/>
      <c r="E42" s="857"/>
      <c r="F42" s="857"/>
      <c r="G42" s="857"/>
      <c r="H42" s="857"/>
      <c r="I42" s="857"/>
      <c r="J42" s="857"/>
      <c r="K42" s="857"/>
      <c r="L42" s="858"/>
      <c r="N42" s="183"/>
      <c r="O42" s="707"/>
      <c r="P42" s="272"/>
      <c r="Q42" s="276"/>
      <c r="R42" s="276"/>
      <c r="S42" s="276"/>
      <c r="T42" s="276">
        <f>+Tables_Brokers!B280</f>
        <v>27222</v>
      </c>
      <c r="U42" s="183">
        <f>+Tables_Brokers!B281</f>
        <v>34027</v>
      </c>
      <c r="V42" s="183" t="s">
        <v>78</v>
      </c>
      <c r="W42" s="183"/>
      <c r="X42" s="183"/>
      <c r="Y42" s="183"/>
      <c r="Z42" s="183"/>
      <c r="AA42" s="183"/>
      <c r="AB42" s="218"/>
      <c r="AC42" s="218"/>
      <c r="AD42" s="218"/>
      <c r="AE42" s="218"/>
      <c r="AF42" s="218"/>
      <c r="AG42" s="218"/>
      <c r="AH42" s="218"/>
      <c r="AI42" s="218"/>
      <c r="AJ42" s="218"/>
      <c r="AK42" s="218"/>
      <c r="AL42" s="218"/>
      <c r="AM42" s="218"/>
      <c r="AN42" s="218"/>
      <c r="AO42" s="218"/>
      <c r="AP42" s="218"/>
      <c r="AQ42" s="218"/>
      <c r="AR42" s="208"/>
    </row>
    <row r="43" spans="1:44" ht="32.25" customHeight="1" x14ac:dyDescent="0.2">
      <c r="B43" s="482" t="s">
        <v>79</v>
      </c>
      <c r="C43" s="480" t="s">
        <v>80</v>
      </c>
      <c r="D43" s="480" t="s">
        <v>81</v>
      </c>
      <c r="E43" s="480" t="s">
        <v>82</v>
      </c>
      <c r="F43" s="480" t="s">
        <v>83</v>
      </c>
      <c r="G43" s="480" t="s">
        <v>84</v>
      </c>
      <c r="H43" s="480" t="s">
        <v>85</v>
      </c>
      <c r="I43" s="480" t="s">
        <v>86</v>
      </c>
      <c r="J43" s="480" t="s">
        <v>87</v>
      </c>
      <c r="K43" s="480" t="s">
        <v>88</v>
      </c>
      <c r="L43" s="481" t="s">
        <v>89</v>
      </c>
      <c r="N43" s="218"/>
      <c r="O43" s="708"/>
      <c r="P43" s="272"/>
      <c r="Q43" s="276"/>
      <c r="R43" s="276"/>
      <c r="S43" s="276"/>
      <c r="T43" s="276" t="s">
        <v>90</v>
      </c>
      <c r="U43" s="276" t="s">
        <v>91</v>
      </c>
      <c r="V43" s="183" t="s">
        <v>92</v>
      </c>
      <c r="W43" s="278" t="s">
        <v>93</v>
      </c>
      <c r="X43" s="183" t="s">
        <v>8</v>
      </c>
      <c r="Y43" s="279">
        <f>+Y44/52</f>
        <v>0</v>
      </c>
      <c r="Z43" s="183" t="s">
        <v>94</v>
      </c>
      <c r="AA43" s="183" t="s">
        <v>95</v>
      </c>
      <c r="AB43" s="280" t="s">
        <v>96</v>
      </c>
      <c r="AC43" s="280" t="s">
        <v>97</v>
      </c>
      <c r="AD43" s="280" t="s">
        <v>98</v>
      </c>
      <c r="AE43" s="218"/>
      <c r="AF43" s="218"/>
      <c r="AG43" s="218"/>
      <c r="AH43" s="280"/>
      <c r="AI43" s="280"/>
      <c r="AJ43" s="218"/>
      <c r="AK43" s="218"/>
      <c r="AL43" s="218"/>
      <c r="AM43" s="218"/>
      <c r="AN43" s="218"/>
      <c r="AO43" s="218"/>
      <c r="AP43" s="218"/>
      <c r="AQ43" s="218"/>
      <c r="AR43" s="208"/>
    </row>
    <row r="44" spans="1:44" ht="18" customHeight="1" x14ac:dyDescent="0.2">
      <c r="B44" s="3" t="s">
        <v>99</v>
      </c>
      <c r="C44" s="13">
        <f>+SUM(T8:T13)/12</f>
        <v>0</v>
      </c>
      <c r="D44" s="14">
        <f>+T44/12</f>
        <v>0</v>
      </c>
      <c r="E44" s="15">
        <f>+C44-D44</f>
        <v>0</v>
      </c>
      <c r="F44" s="178"/>
      <c r="G44" s="229"/>
      <c r="H44" s="179">
        <v>2</v>
      </c>
      <c r="I44" s="178"/>
      <c r="J44" s="178"/>
      <c r="K44" s="178"/>
      <c r="L44" s="230"/>
      <c r="N44" s="183"/>
      <c r="O44" s="708"/>
      <c r="P44" s="709"/>
      <c r="Q44" s="276"/>
      <c r="R44" s="276"/>
      <c r="S44" s="276"/>
      <c r="T44" s="281">
        <f>+U44+V44+W44</f>
        <v>0</v>
      </c>
      <c r="U44" s="276">
        <f>+IF(X$44&lt;=$T$42,0,IF(X$44&lt;=$U$42,((X44-$T$42)*Tables_Brokers!$B$278),X44*Tables_Brokers!$B$278))</f>
        <v>0</v>
      </c>
      <c r="V44" s="282">
        <f>+Y44</f>
        <v>0</v>
      </c>
      <c r="W44" s="282">
        <f>+Tables_Brokers!D283</f>
        <v>0</v>
      </c>
      <c r="X44" s="183">
        <f>+C44*12</f>
        <v>0</v>
      </c>
      <c r="Y44" s="183">
        <f>+SUM(Z44:AD44)</f>
        <v>0</v>
      </c>
      <c r="Z44" s="183">
        <f>+IF(X44&gt;=Tables_Brokers!$A$275,((X44-Tables_Brokers!$A$275)*Tables_Brokers!$B$276)+Tables_Brokers!$C$275,0)</f>
        <v>0</v>
      </c>
      <c r="AA44" s="183" t="b">
        <f>+IF(Z44=0,IF(X44&gt;=Tables_Brokers!$A$274,(X44-Tables_Brokers!$A$274)*Tables_Brokers!$B$275+Tables_Brokers!$C$274),0)</f>
        <v>0</v>
      </c>
      <c r="AB44" s="218" t="b">
        <f>+IF(SUM(Z44:AA44)=0,IF(X44&gt;=Tables_Brokers!$A$273,(X44-Tables_Brokers!$A$273)*Tables_Brokers!$B$274+Tables_Brokers!$C$273),0)</f>
        <v>0</v>
      </c>
      <c r="AC44" s="218" t="b">
        <f>+IF(SUM(Z44:AB44)=0,IF(X44&gt;=Tables_Brokers!$A$272,(X44-Tables_Brokers!$A$272)*Tables_Brokers!$B$273+Tables_Brokers!$C$272),0)</f>
        <v>0</v>
      </c>
      <c r="AD44" s="218">
        <f>+IF(SUM(Z44:AC44)=0,IF(X44&lt;=Tables_Brokers!$A$272,0,0))</f>
        <v>0</v>
      </c>
      <c r="AE44" s="218"/>
      <c r="AF44" s="218"/>
      <c r="AG44" s="218"/>
      <c r="AH44" s="218"/>
      <c r="AI44" s="218"/>
      <c r="AJ44" s="183"/>
      <c r="AK44" s="218"/>
      <c r="AL44" s="218"/>
      <c r="AM44" s="218"/>
      <c r="AN44" s="218"/>
      <c r="AO44" s="218"/>
      <c r="AP44" s="218"/>
      <c r="AQ44" s="218"/>
      <c r="AR44" s="208"/>
    </row>
    <row r="45" spans="1:44" ht="18" customHeight="1" x14ac:dyDescent="0.2">
      <c r="B45" s="3" t="s">
        <v>100</v>
      </c>
      <c r="C45" s="13">
        <f>+SUM(T14:T19)/12</f>
        <v>0</v>
      </c>
      <c r="D45" s="14">
        <f>+T45/12</f>
        <v>0</v>
      </c>
      <c r="E45" s="15">
        <f>+C45-D45</f>
        <v>0</v>
      </c>
      <c r="F45" s="178"/>
      <c r="G45" s="229"/>
      <c r="H45" s="179">
        <v>2</v>
      </c>
      <c r="I45" s="178"/>
      <c r="J45" s="178"/>
      <c r="K45" s="178"/>
      <c r="L45" s="230"/>
      <c r="N45" s="183"/>
      <c r="O45" s="708"/>
      <c r="P45" s="709"/>
      <c r="Q45" s="276"/>
      <c r="R45" s="276"/>
      <c r="S45" s="276"/>
      <c r="T45" s="281">
        <f>+U45+V45+W45</f>
        <v>0</v>
      </c>
      <c r="U45" s="276">
        <f>+IF(X$45&lt;=$T$42,0,IF(X$45&lt;=$U$42,((X45-$T$42)*Tables_Brokers!$B$278),X45*Tables_Brokers!$B$278))</f>
        <v>0</v>
      </c>
      <c r="V45" s="282">
        <f>+Y45</f>
        <v>0</v>
      </c>
      <c r="W45" s="282"/>
      <c r="X45" s="183">
        <f>+C45*12</f>
        <v>0</v>
      </c>
      <c r="Y45" s="183">
        <f>+SUM(Z45:AD45)</f>
        <v>0</v>
      </c>
      <c r="Z45" s="183">
        <f>+IF(X45&gt;=Tables_Brokers!$A$275,((X45-Tables_Brokers!$A$275)*Tables_Brokers!$B$276)+Tables_Brokers!$C$275,0)</f>
        <v>0</v>
      </c>
      <c r="AA45" s="183" t="b">
        <f>+IF(Z45=0,IF(X45&gt;=Tables_Brokers!$A$274,(X45-Tables_Brokers!$A$274)*Tables_Brokers!$B$275+Tables_Brokers!$C$274),0)</f>
        <v>0</v>
      </c>
      <c r="AB45" s="218" t="b">
        <f>+IF(SUM(Z45:AA45)=0,IF(X45&gt;=Tables_Brokers!$A$273,(X45-Tables_Brokers!$A$273)*Tables_Brokers!$B$274+Tables_Brokers!$C$273),0)</f>
        <v>0</v>
      </c>
      <c r="AC45" s="218" t="b">
        <f>+IF(SUM(Z45:AB45)=0,IF(X45&gt;=Tables_Brokers!$A$272,(X45-Tables_Brokers!$A$272)*Tables_Brokers!$B$273+Tables_Brokers!$C$272),0)</f>
        <v>0</v>
      </c>
      <c r="AD45" s="218">
        <f>+IF(SUM(Z45:AC45)=0,IF(X45&lt;=Tables_Brokers!$A$272,0,0))</f>
        <v>0</v>
      </c>
      <c r="AE45" s="218"/>
      <c r="AF45" s="218"/>
      <c r="AG45" s="183"/>
      <c r="AH45" s="183"/>
      <c r="AI45" s="183"/>
      <c r="AJ45" s="183"/>
      <c r="AK45" s="218"/>
      <c r="AL45" s="218"/>
      <c r="AM45" s="218"/>
      <c r="AN45" s="218"/>
      <c r="AO45" s="218"/>
      <c r="AP45" s="218"/>
      <c r="AQ45" s="218"/>
      <c r="AR45" s="208"/>
    </row>
    <row r="46" spans="1:44" ht="18" customHeight="1" thickBot="1" x14ac:dyDescent="0.25">
      <c r="B46" s="40" t="s">
        <v>101</v>
      </c>
      <c r="C46" s="886" t="str">
        <f>I10</f>
        <v>Rental Income - Negative Geared</v>
      </c>
      <c r="D46" s="887"/>
      <c r="E46" s="15">
        <f>+L14*I14</f>
        <v>0</v>
      </c>
      <c r="F46" s="231"/>
      <c r="G46" s="231"/>
      <c r="H46" s="231"/>
      <c r="I46" s="241"/>
      <c r="J46" s="231"/>
      <c r="K46" s="231"/>
      <c r="L46" s="232"/>
      <c r="N46" s="183"/>
      <c r="O46" s="708"/>
      <c r="P46" s="709"/>
      <c r="Q46" s="276"/>
      <c r="R46" s="276"/>
      <c r="S46" s="276"/>
      <c r="T46" s="276"/>
      <c r="U46" s="276"/>
      <c r="V46" s="183"/>
      <c r="W46" s="183"/>
      <c r="X46" s="183"/>
      <c r="Y46" s="183"/>
      <c r="Z46" s="183"/>
      <c r="AA46" s="183"/>
      <c r="AB46" s="218"/>
      <c r="AC46" s="218"/>
      <c r="AD46" s="218"/>
      <c r="AE46" s="218"/>
      <c r="AF46" s="218"/>
      <c r="AG46" s="218"/>
      <c r="AH46" s="218"/>
      <c r="AI46" s="218"/>
      <c r="AJ46" s="218"/>
      <c r="AK46" s="218"/>
      <c r="AL46" s="218"/>
      <c r="AM46" s="218"/>
      <c r="AN46" s="218"/>
      <c r="AO46" s="218"/>
      <c r="AP46" s="218"/>
      <c r="AQ46" s="218"/>
      <c r="AR46" s="208"/>
    </row>
    <row r="47" spans="1:44" ht="18" customHeight="1" x14ac:dyDescent="0.2">
      <c r="B47" s="40" t="s">
        <v>102</v>
      </c>
      <c r="C47" s="15">
        <f>+V7+V8+V9</f>
        <v>0</v>
      </c>
      <c r="D47" s="15">
        <v>0</v>
      </c>
      <c r="E47" s="236">
        <f>+V7+V8+V9</f>
        <v>0</v>
      </c>
      <c r="F47" s="888" t="s">
        <v>103</v>
      </c>
      <c r="G47" s="889"/>
      <c r="H47" s="889"/>
      <c r="I47" s="890"/>
      <c r="J47" s="891" t="s">
        <v>104</v>
      </c>
      <c r="K47" s="892"/>
      <c r="L47" s="893"/>
      <c r="M47" s="330" t="s">
        <v>105</v>
      </c>
      <c r="N47" s="283"/>
      <c r="O47" s="708"/>
      <c r="P47" s="709"/>
      <c r="Q47" s="276"/>
      <c r="R47" s="276"/>
      <c r="S47" s="276"/>
      <c r="T47" s="276"/>
      <c r="U47" s="276"/>
      <c r="V47" s="183"/>
      <c r="W47" s="183"/>
      <c r="X47" s="183"/>
      <c r="Y47" s="183"/>
      <c r="Z47" s="183"/>
      <c r="AA47" s="183"/>
      <c r="AB47" s="218"/>
      <c r="AC47" s="218"/>
      <c r="AD47" s="218"/>
      <c r="AE47" s="218"/>
      <c r="AF47" s="218"/>
      <c r="AG47" s="218"/>
      <c r="AH47" s="218"/>
      <c r="AI47" s="218"/>
      <c r="AJ47" s="218"/>
      <c r="AK47" s="218"/>
      <c r="AL47" s="218"/>
      <c r="AM47" s="218"/>
      <c r="AN47" s="218"/>
      <c r="AO47" s="218"/>
      <c r="AP47" s="218"/>
      <c r="AQ47" s="218"/>
      <c r="AR47" s="208"/>
    </row>
    <row r="48" spans="1:44" ht="18" customHeight="1" thickBot="1" x14ac:dyDescent="0.25">
      <c r="B48" s="10" t="s">
        <v>106</v>
      </c>
      <c r="C48" s="17">
        <f>SUM(C44:C45)+E46+E47</f>
        <v>0</v>
      </c>
      <c r="D48" s="17">
        <f>SUM(D44:D45)</f>
        <v>0</v>
      </c>
      <c r="E48" s="163">
        <f>SUM(E44:E47)</f>
        <v>0</v>
      </c>
      <c r="F48" s="483" t="s">
        <v>13</v>
      </c>
      <c r="G48" s="15">
        <f>+C48</f>
        <v>0</v>
      </c>
      <c r="H48" s="560" t="s">
        <v>54</v>
      </c>
      <c r="I48" s="242" t="str">
        <f>+K24</f>
        <v xml:space="preserve"> </v>
      </c>
      <c r="J48" s="483" t="s">
        <v>107</v>
      </c>
      <c r="K48" s="234" t="e">
        <f>+(I40+L20)/E48</f>
        <v>#N/A</v>
      </c>
      <c r="L48" s="180" t="e">
        <f>+E48-I40-L20</f>
        <v>#N/A</v>
      </c>
      <c r="M48" s="329">
        <f>+W44/12</f>
        <v>0</v>
      </c>
      <c r="N48" s="183"/>
      <c r="O48" s="708"/>
      <c r="P48" s="709"/>
      <c r="Q48" s="276"/>
      <c r="R48" s="276"/>
      <c r="S48" s="276"/>
      <c r="T48" s="183"/>
      <c r="U48" s="405"/>
      <c r="V48" s="183"/>
      <c r="W48" s="183"/>
      <c r="X48" s="183"/>
      <c r="Y48" s="183"/>
      <c r="Z48" s="183"/>
      <c r="AB48" s="183"/>
      <c r="AC48" s="183"/>
      <c r="AD48" s="218"/>
      <c r="AE48" s="218"/>
      <c r="AF48" s="218"/>
      <c r="AG48" s="218"/>
      <c r="AH48" s="218"/>
      <c r="AI48" s="218"/>
      <c r="AJ48" s="218"/>
      <c r="AK48" s="218"/>
      <c r="AL48" s="218"/>
      <c r="AM48" s="218"/>
      <c r="AN48" s="218"/>
      <c r="AO48" s="218"/>
      <c r="AP48" s="218"/>
      <c r="AQ48" s="218"/>
      <c r="AR48" s="208"/>
    </row>
    <row r="49" spans="2:43" ht="18" customHeight="1" x14ac:dyDescent="0.2">
      <c r="B49" s="839" t="s">
        <v>108</v>
      </c>
      <c r="C49" s="857"/>
      <c r="D49" s="857"/>
      <c r="E49" s="858"/>
      <c r="F49" s="483" t="s">
        <v>109</v>
      </c>
      <c r="G49" s="15" t="e">
        <f>+L20+J40+D48-J24</f>
        <v>#N/A</v>
      </c>
      <c r="H49" s="560" t="s">
        <v>110</v>
      </c>
      <c r="I49" s="242" t="e">
        <f>+(J40+D48+L20)/C48</f>
        <v>#N/A</v>
      </c>
      <c r="J49" s="484" t="s">
        <v>111</v>
      </c>
      <c r="K49" s="420" t="e">
        <f>(J40+L20)/E48</f>
        <v>#N/A</v>
      </c>
      <c r="L49" s="69" t="e">
        <f>+E48-J40-L20</f>
        <v>#N/A</v>
      </c>
      <c r="N49" s="284"/>
      <c r="O49" s="183"/>
      <c r="P49" s="183"/>
      <c r="Q49" s="877"/>
      <c r="R49" s="877"/>
      <c r="S49" s="877"/>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Q49" s="183"/>
    </row>
    <row r="50" spans="2:43" ht="18" customHeight="1" x14ac:dyDescent="0.2">
      <c r="B50" s="40" t="s">
        <v>112</v>
      </c>
      <c r="C50" s="15">
        <f>SUM(T22:V22)</f>
        <v>0</v>
      </c>
      <c r="D50" s="235" t="s">
        <v>113</v>
      </c>
      <c r="E50" s="180">
        <f>SUMIF(A35:A39,"",E35:E39)</f>
        <v>0</v>
      </c>
      <c r="F50" s="483" t="s">
        <v>114</v>
      </c>
      <c r="G50" s="15" t="e">
        <f>+C48-G49-I24</f>
        <v>#N/A</v>
      </c>
      <c r="H50" s="560" t="s">
        <v>115</v>
      </c>
      <c r="I50" s="236" t="e">
        <f>+C48-G49</f>
        <v>#N/A</v>
      </c>
      <c r="J50" s="878" t="s">
        <v>116</v>
      </c>
      <c r="K50" s="878"/>
      <c r="L50" s="558" t="s">
        <v>117</v>
      </c>
      <c r="N50" s="285"/>
      <c r="O50" s="183"/>
      <c r="P50" s="183"/>
      <c r="Q50" s="877"/>
      <c r="R50" s="877"/>
      <c r="S50" s="877"/>
      <c r="T50" s="183"/>
      <c r="U50" s="286"/>
      <c r="V50" s="287"/>
      <c r="W50" s="287"/>
      <c r="X50" s="288"/>
      <c r="Y50" s="288"/>
      <c r="Z50" s="288"/>
      <c r="AA50" s="288"/>
      <c r="AB50" s="288"/>
      <c r="AC50" s="183"/>
      <c r="AD50" s="183"/>
      <c r="AE50" s="183"/>
      <c r="AF50" s="183"/>
      <c r="AG50" s="183"/>
      <c r="AH50" s="183"/>
      <c r="AI50" s="183"/>
      <c r="AJ50" s="183"/>
      <c r="AK50" s="183"/>
      <c r="AL50" s="183"/>
      <c r="AM50" s="183"/>
      <c r="AN50" s="183"/>
      <c r="AO50" s="183"/>
      <c r="AQ50" s="183"/>
    </row>
    <row r="51" spans="2:43" ht="18" customHeight="1" thickBot="1" x14ac:dyDescent="0.25">
      <c r="B51" s="237" t="s">
        <v>118</v>
      </c>
      <c r="C51" s="559">
        <f>+C40-SUMIF(A35:A39,"",C35:C39)+E50</f>
        <v>0</v>
      </c>
      <c r="D51" s="238" t="s">
        <v>119</v>
      </c>
      <c r="E51" s="244" t="e">
        <f>+C51/C50</f>
        <v>#DIV/0!</v>
      </c>
      <c r="F51" s="485" t="s">
        <v>120</v>
      </c>
      <c r="G51" s="879">
        <f>+SUM(C25:C34)+SUM(E35:E39)</f>
        <v>0</v>
      </c>
      <c r="H51" s="880"/>
      <c r="I51" s="419"/>
      <c r="J51" s="881" t="e">
        <f>IF(L51="NO","DECLINED",+VLOOKUP(T50,Approval_Officers,2,FALSE))</f>
        <v>#N/A</v>
      </c>
      <c r="K51" s="881"/>
      <c r="L51" s="421" t="e">
        <f>+IF(I49&lt;1,"Yes","NO")</f>
        <v>#N/A</v>
      </c>
      <c r="N51" s="285"/>
      <c r="O51" s="183"/>
      <c r="P51" s="183"/>
      <c r="Q51" s="557"/>
      <c r="R51" s="557"/>
      <c r="S51" s="557"/>
      <c r="T51" s="183"/>
      <c r="U51" s="286"/>
      <c r="V51" s="287"/>
      <c r="W51" s="287"/>
      <c r="X51" s="289"/>
      <c r="Y51" s="289"/>
      <c r="Z51" s="289"/>
      <c r="AA51" s="289"/>
      <c r="AB51" s="289"/>
      <c r="AC51" s="183"/>
      <c r="AD51" s="183"/>
      <c r="AE51" s="183"/>
      <c r="AF51" s="183"/>
      <c r="AG51" s="183"/>
      <c r="AH51" s="183"/>
      <c r="AI51" s="183"/>
      <c r="AJ51" s="183"/>
      <c r="AK51" s="183"/>
      <c r="AL51" s="183"/>
      <c r="AM51" s="183"/>
      <c r="AN51" s="183"/>
      <c r="AO51" s="183"/>
      <c r="AQ51" s="183"/>
    </row>
    <row r="52" spans="2:43" ht="4.5" customHeight="1" x14ac:dyDescent="0.2">
      <c r="B52" s="247"/>
      <c r="C52" s="185"/>
      <c r="D52" s="185"/>
      <c r="E52" s="185"/>
      <c r="F52" s="185"/>
      <c r="G52" s="185"/>
      <c r="H52" s="185"/>
      <c r="I52" s="185"/>
      <c r="J52" s="185"/>
      <c r="K52" s="248"/>
      <c r="L52" s="249"/>
      <c r="N52" s="284"/>
      <c r="O52" s="183"/>
      <c r="P52" s="183"/>
      <c r="Q52" s="183"/>
      <c r="R52" s="218"/>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Q52" s="183"/>
    </row>
    <row r="53" spans="2:43" ht="18" hidden="1" customHeight="1" x14ac:dyDescent="0.2">
      <c r="B53" s="839" t="s">
        <v>121</v>
      </c>
      <c r="C53" s="857"/>
      <c r="D53" s="857"/>
      <c r="E53" s="857"/>
      <c r="F53" s="857"/>
      <c r="G53" s="858"/>
      <c r="H53" s="185"/>
      <c r="I53" s="839" t="s">
        <v>122</v>
      </c>
      <c r="J53" s="857"/>
      <c r="K53" s="857"/>
      <c r="L53" s="858"/>
      <c r="M53" s="210"/>
      <c r="N53" s="218"/>
      <c r="O53" s="218"/>
      <c r="P53" s="218"/>
      <c r="Q53" s="218"/>
      <c r="R53" s="218"/>
      <c r="S53" s="183"/>
      <c r="T53" s="183"/>
      <c r="U53" s="183"/>
      <c r="V53" s="183"/>
      <c r="W53" s="183"/>
      <c r="X53" s="273"/>
      <c r="Y53" s="273"/>
      <c r="Z53" s="273"/>
      <c r="AA53" s="273"/>
      <c r="AB53" s="273"/>
      <c r="AC53" s="273"/>
      <c r="AD53" s="183"/>
      <c r="AE53" s="183"/>
      <c r="AF53" s="183"/>
      <c r="AG53" s="183"/>
      <c r="AH53" s="183"/>
      <c r="AI53" s="183"/>
      <c r="AJ53" s="183"/>
      <c r="AK53" s="183"/>
      <c r="AL53" s="183"/>
      <c r="AM53" s="183"/>
      <c r="AN53" s="183"/>
      <c r="AO53" s="183"/>
      <c r="AQ53" s="183"/>
    </row>
    <row r="54" spans="2:43" ht="18" hidden="1" customHeight="1" x14ac:dyDescent="0.2">
      <c r="B54" s="859" t="s">
        <v>123</v>
      </c>
      <c r="C54" s="860"/>
      <c r="D54" s="4" t="s">
        <v>124</v>
      </c>
      <c r="E54" s="4" t="s">
        <v>54</v>
      </c>
      <c r="F54" s="4" t="s">
        <v>125</v>
      </c>
      <c r="G54" s="324" t="s">
        <v>126</v>
      </c>
      <c r="H54" s="185"/>
      <c r="I54" s="250" t="s">
        <v>127</v>
      </c>
      <c r="J54" s="861"/>
      <c r="K54" s="861"/>
      <c r="L54" s="862"/>
      <c r="M54" s="210"/>
      <c r="N54" s="218"/>
      <c r="O54" s="218"/>
      <c r="P54" s="218"/>
      <c r="Q54" s="218"/>
      <c r="R54" s="218"/>
      <c r="S54" s="183"/>
      <c r="T54" s="183"/>
      <c r="U54" s="183"/>
      <c r="V54" s="183"/>
      <c r="W54" s="183"/>
      <c r="X54" s="290"/>
      <c r="Y54" s="290"/>
      <c r="Z54" s="290"/>
      <c r="AA54" s="290"/>
      <c r="AB54" s="290"/>
      <c r="AC54" s="290"/>
      <c r="AD54" s="183"/>
      <c r="AE54" s="183"/>
      <c r="AF54" s="183"/>
      <c r="AG54" s="183"/>
      <c r="AH54" s="183"/>
      <c r="AI54" s="183"/>
      <c r="AJ54" s="183"/>
      <c r="AK54" s="183"/>
      <c r="AL54" s="183"/>
      <c r="AM54" s="183"/>
      <c r="AN54" s="183"/>
      <c r="AO54" s="183"/>
      <c r="AQ54" s="183"/>
    </row>
    <row r="55" spans="2:43" ht="18" hidden="1" customHeight="1" x14ac:dyDescent="0.2">
      <c r="B55" s="863"/>
      <c r="C55" s="864"/>
      <c r="D55" s="320"/>
      <c r="E55" s="321"/>
      <c r="F55" s="322"/>
      <c r="G55" s="323"/>
      <c r="H55" s="185"/>
      <c r="I55" s="251" t="s">
        <v>128</v>
      </c>
      <c r="J55" s="865"/>
      <c r="K55" s="865"/>
      <c r="L55" s="866"/>
      <c r="M55" s="210"/>
      <c r="N55" s="218"/>
      <c r="O55" s="218"/>
      <c r="P55" s="218"/>
      <c r="Q55" s="218"/>
      <c r="R55" s="218"/>
      <c r="S55" s="183"/>
      <c r="T55" s="183"/>
      <c r="U55" s="183"/>
      <c r="V55" s="183"/>
      <c r="W55" s="183"/>
      <c r="X55" s="290"/>
      <c r="Y55" s="290"/>
      <c r="Z55" s="290"/>
      <c r="AA55" s="290"/>
      <c r="AB55" s="290"/>
      <c r="AC55" s="290"/>
      <c r="AD55" s="183"/>
      <c r="AE55" s="183"/>
      <c r="AF55" s="183"/>
      <c r="AG55" s="183"/>
      <c r="AH55" s="183"/>
      <c r="AI55" s="183"/>
      <c r="AJ55" s="183"/>
      <c r="AK55" s="183"/>
      <c r="AL55" s="183"/>
      <c r="AM55" s="183"/>
      <c r="AN55" s="183"/>
      <c r="AO55" s="183"/>
      <c r="AQ55" s="183"/>
    </row>
    <row r="56" spans="2:43" ht="18" hidden="1" customHeight="1" x14ac:dyDescent="0.2">
      <c r="B56" s="863"/>
      <c r="C56" s="864"/>
      <c r="D56" s="320"/>
      <c r="E56" s="321"/>
      <c r="F56" s="322"/>
      <c r="G56" s="323"/>
      <c r="H56" s="185"/>
      <c r="I56" s="867" t="s">
        <v>129</v>
      </c>
      <c r="J56" s="868"/>
      <c r="K56" s="868"/>
      <c r="L56" s="869"/>
      <c r="N56" s="183"/>
      <c r="O56" s="183"/>
      <c r="P56" s="183"/>
      <c r="Q56" s="183"/>
      <c r="R56" s="183"/>
      <c r="S56" s="183"/>
      <c r="T56" s="183"/>
      <c r="U56" s="183"/>
      <c r="V56" s="183"/>
      <c r="W56" s="183"/>
      <c r="X56" s="290"/>
      <c r="Y56" s="290"/>
      <c r="Z56" s="290"/>
      <c r="AA56" s="290"/>
      <c r="AB56" s="290"/>
      <c r="AD56" s="183"/>
      <c r="AE56" s="183"/>
      <c r="AF56" s="183"/>
      <c r="AG56" s="183"/>
      <c r="AH56" s="183"/>
      <c r="AI56" s="183"/>
      <c r="AJ56" s="183"/>
      <c r="AK56" s="183"/>
      <c r="AL56" s="183"/>
      <c r="AM56" s="183"/>
      <c r="AN56" s="183"/>
      <c r="AO56" s="183"/>
      <c r="AQ56" s="183"/>
    </row>
    <row r="57" spans="2:43" ht="18" hidden="1" customHeight="1" thickBot="1" x14ac:dyDescent="0.25">
      <c r="B57" s="237" t="s">
        <v>130</v>
      </c>
      <c r="C57" s="268"/>
      <c r="D57" s="268"/>
      <c r="E57" s="325" t="s">
        <v>131</v>
      </c>
      <c r="F57" s="162"/>
      <c r="G57" s="326"/>
      <c r="H57" s="185"/>
      <c r="I57" s="870" t="e">
        <f>+J51</f>
        <v>#N/A</v>
      </c>
      <c r="J57" s="871"/>
      <c r="K57" s="871"/>
      <c r="L57" s="872"/>
      <c r="N57" s="183"/>
      <c r="O57" s="183"/>
      <c r="P57" s="183"/>
      <c r="Q57" s="183"/>
      <c r="R57" s="183"/>
      <c r="S57" s="183"/>
      <c r="T57" s="183"/>
      <c r="U57" s="183"/>
      <c r="V57" s="183"/>
      <c r="W57" s="183"/>
      <c r="X57" s="273"/>
      <c r="Y57" s="273"/>
      <c r="Z57" s="273"/>
      <c r="AA57" s="273"/>
      <c r="AB57" s="273"/>
      <c r="AC57" s="273"/>
      <c r="AD57" s="183"/>
      <c r="AE57" s="183"/>
      <c r="AF57" s="183"/>
      <c r="AG57" s="183"/>
      <c r="AH57" s="183"/>
      <c r="AI57" s="183"/>
      <c r="AJ57" s="183"/>
      <c r="AK57" s="183"/>
      <c r="AL57" s="183"/>
      <c r="AM57" s="183"/>
      <c r="AN57" s="183"/>
      <c r="AO57" s="183"/>
      <c r="AQ57" s="183"/>
    </row>
    <row r="58" spans="2:43" ht="18" hidden="1" customHeight="1" x14ac:dyDescent="0.2">
      <c r="B58" s="867" t="s">
        <v>132</v>
      </c>
      <c r="C58" s="873"/>
      <c r="D58" s="873"/>
      <c r="E58" s="873"/>
      <c r="F58" s="873"/>
      <c r="G58" s="874"/>
      <c r="H58" s="185"/>
      <c r="I58" s="190" t="s">
        <v>127</v>
      </c>
      <c r="J58" s="875"/>
      <c r="K58" s="875"/>
      <c r="L58" s="876"/>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Q58" s="183"/>
    </row>
    <row r="59" spans="2:43" ht="18" hidden="1" customHeight="1" thickBot="1" x14ac:dyDescent="0.25">
      <c r="B59" s="853" t="s">
        <v>133</v>
      </c>
      <c r="C59" s="830"/>
      <c r="D59" s="845"/>
      <c r="E59" s="845"/>
      <c r="F59" s="845"/>
      <c r="G59" s="846"/>
      <c r="H59" s="185"/>
      <c r="I59" s="252" t="s">
        <v>128</v>
      </c>
      <c r="J59" s="855"/>
      <c r="K59" s="855"/>
      <c r="L59" s="856"/>
      <c r="N59" s="183"/>
      <c r="O59" s="183"/>
      <c r="P59" s="183"/>
      <c r="Q59" s="183"/>
      <c r="R59" s="183"/>
      <c r="S59" s="183"/>
      <c r="T59" s="183"/>
      <c r="U59" s="183"/>
      <c r="V59" s="183"/>
      <c r="W59" s="183"/>
      <c r="X59" s="291"/>
      <c r="Y59" s="291"/>
      <c r="Z59" s="291"/>
      <c r="AA59" s="291"/>
      <c r="AB59" s="291"/>
      <c r="AC59" s="183"/>
      <c r="AD59" s="183"/>
      <c r="AE59" s="183"/>
      <c r="AF59" s="183"/>
      <c r="AG59" s="183"/>
      <c r="AH59" s="183"/>
      <c r="AI59" s="183"/>
      <c r="AJ59" s="183"/>
      <c r="AK59" s="183"/>
      <c r="AL59" s="183"/>
      <c r="AM59" s="183"/>
      <c r="AN59" s="183"/>
      <c r="AO59" s="183"/>
      <c r="AQ59" s="183"/>
    </row>
    <row r="60" spans="2:43" ht="12.75" hidden="1" thickBot="1" x14ac:dyDescent="0.25">
      <c r="B60" s="854"/>
      <c r="C60" s="847"/>
      <c r="D60" s="848"/>
      <c r="E60" s="848"/>
      <c r="F60" s="848"/>
      <c r="G60" s="849"/>
      <c r="H60" s="185"/>
      <c r="I60" s="185"/>
      <c r="J60" s="185"/>
      <c r="K60" s="185"/>
      <c r="L60" s="246"/>
      <c r="N60" s="183"/>
      <c r="O60" s="183"/>
      <c r="P60" s="183"/>
      <c r="Q60" s="183"/>
      <c r="R60" s="183"/>
      <c r="S60" s="183"/>
      <c r="T60" s="183"/>
      <c r="U60" s="183"/>
      <c r="V60" s="183"/>
      <c r="W60" s="183"/>
      <c r="X60" s="427"/>
      <c r="Y60" s="427"/>
      <c r="Z60" s="427"/>
      <c r="AA60" s="183"/>
      <c r="AB60" s="183"/>
      <c r="AC60" s="183"/>
      <c r="AD60" s="183"/>
      <c r="AE60" s="183"/>
      <c r="AF60" s="183"/>
      <c r="AG60" s="183"/>
      <c r="AH60" s="183"/>
      <c r="AI60" s="183"/>
      <c r="AJ60" s="183"/>
      <c r="AK60" s="183"/>
      <c r="AL60" s="183"/>
      <c r="AM60" s="183"/>
      <c r="AN60" s="183"/>
      <c r="AO60" s="183"/>
      <c r="AQ60" s="183"/>
    </row>
    <row r="61" spans="2:43" ht="18" hidden="1" customHeight="1" x14ac:dyDescent="0.2">
      <c r="B61" s="827" t="s">
        <v>134</v>
      </c>
      <c r="C61" s="830"/>
      <c r="D61" s="831"/>
      <c r="E61" s="831"/>
      <c r="F61" s="831"/>
      <c r="G61" s="832"/>
      <c r="H61" s="185"/>
      <c r="I61" s="839" t="s">
        <v>135</v>
      </c>
      <c r="J61" s="840"/>
      <c r="K61" s="840"/>
      <c r="L61" s="841"/>
      <c r="N61" s="183"/>
      <c r="O61" s="183"/>
      <c r="P61" s="183"/>
      <c r="Q61" s="183"/>
      <c r="R61" s="183"/>
      <c r="S61" s="183"/>
      <c r="T61" s="183"/>
      <c r="U61" s="183"/>
      <c r="V61" s="183"/>
      <c r="W61" s="183"/>
      <c r="X61" s="413"/>
      <c r="Y61" s="413"/>
      <c r="Z61" s="413"/>
      <c r="AA61" s="413"/>
      <c r="AB61" s="413"/>
      <c r="AC61" s="183"/>
      <c r="AD61" s="183"/>
      <c r="AE61" s="183"/>
      <c r="AF61" s="183"/>
      <c r="AG61" s="183"/>
      <c r="AH61" s="183"/>
      <c r="AI61" s="183"/>
      <c r="AJ61" s="183"/>
      <c r="AK61" s="183"/>
      <c r="AL61" s="183"/>
      <c r="AM61" s="183"/>
      <c r="AN61" s="183"/>
      <c r="AO61" s="183"/>
      <c r="AQ61" s="183"/>
    </row>
    <row r="62" spans="2:43" ht="18" hidden="1" customHeight="1" x14ac:dyDescent="0.2">
      <c r="B62" s="828"/>
      <c r="C62" s="833"/>
      <c r="D62" s="834"/>
      <c r="E62" s="834"/>
      <c r="F62" s="834"/>
      <c r="G62" s="835"/>
      <c r="H62" s="185"/>
      <c r="I62" s="149" t="s">
        <v>136</v>
      </c>
      <c r="J62" s="842"/>
      <c r="K62" s="843"/>
      <c r="L62" s="844"/>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Q62" s="183"/>
    </row>
    <row r="63" spans="2:43" ht="18" hidden="1" customHeight="1" x14ac:dyDescent="0.2">
      <c r="B63" s="828"/>
      <c r="C63" s="833"/>
      <c r="D63" s="834"/>
      <c r="E63" s="834"/>
      <c r="F63" s="834"/>
      <c r="G63" s="835"/>
      <c r="H63" s="185"/>
      <c r="I63" s="149" t="s">
        <v>137</v>
      </c>
      <c r="J63" s="830"/>
      <c r="K63" s="845"/>
      <c r="L63" s="846"/>
      <c r="N63" s="183"/>
      <c r="O63" s="183"/>
      <c r="P63" s="183"/>
      <c r="Q63" s="183"/>
      <c r="R63" s="183"/>
      <c r="S63" s="183"/>
      <c r="T63" s="183"/>
      <c r="U63" s="183"/>
      <c r="V63" s="183"/>
      <c r="W63" s="25"/>
      <c r="X63" s="422"/>
      <c r="Y63" s="422"/>
      <c r="Z63" s="422"/>
      <c r="AA63" s="422"/>
      <c r="AB63" s="422"/>
      <c r="AC63" s="183"/>
      <c r="AD63" s="183"/>
      <c r="AE63" s="183"/>
      <c r="AF63" s="183"/>
      <c r="AG63" s="183"/>
      <c r="AH63" s="183"/>
      <c r="AI63" s="183"/>
      <c r="AJ63" s="183"/>
      <c r="AK63" s="183"/>
      <c r="AL63" s="183"/>
      <c r="AM63" s="183"/>
      <c r="AN63" s="183"/>
      <c r="AO63" s="183"/>
      <c r="AQ63" s="183"/>
    </row>
    <row r="64" spans="2:43" ht="18" hidden="1" customHeight="1" x14ac:dyDescent="0.2">
      <c r="B64" s="828"/>
      <c r="C64" s="833"/>
      <c r="D64" s="834"/>
      <c r="E64" s="834"/>
      <c r="F64" s="834"/>
      <c r="G64" s="835"/>
      <c r="H64" s="185"/>
      <c r="I64" s="149"/>
      <c r="J64" s="847"/>
      <c r="K64" s="848"/>
      <c r="L64" s="849"/>
      <c r="N64" s="183"/>
      <c r="O64" s="183"/>
      <c r="P64" s="183"/>
      <c r="Q64" s="183"/>
      <c r="R64" s="183"/>
      <c r="S64" s="183"/>
      <c r="T64" s="183"/>
      <c r="U64" s="183"/>
      <c r="V64" s="183"/>
      <c r="W64" s="25"/>
      <c r="X64" s="422"/>
      <c r="Y64" s="422"/>
      <c r="Z64" s="422"/>
      <c r="AA64" s="428"/>
      <c r="AB64" s="422"/>
      <c r="AC64" s="183"/>
      <c r="AD64" s="183"/>
      <c r="AE64" s="183"/>
      <c r="AF64" s="183"/>
      <c r="AG64" s="183"/>
      <c r="AH64" s="183"/>
      <c r="AI64" s="183"/>
      <c r="AJ64" s="183"/>
      <c r="AK64" s="183"/>
      <c r="AL64" s="183"/>
      <c r="AM64" s="183"/>
      <c r="AN64" s="183"/>
      <c r="AO64" s="183"/>
      <c r="AQ64" s="183"/>
    </row>
    <row r="65" spans="2:43" ht="18" hidden="1" customHeight="1" x14ac:dyDescent="0.2">
      <c r="B65" s="828"/>
      <c r="C65" s="833"/>
      <c r="D65" s="834"/>
      <c r="E65" s="834"/>
      <c r="F65" s="834"/>
      <c r="G65" s="835"/>
      <c r="H65" s="185"/>
      <c r="I65" s="149" t="s">
        <v>138</v>
      </c>
      <c r="J65" s="225"/>
      <c r="K65" s="151" t="s">
        <v>128</v>
      </c>
      <c r="L65" s="226"/>
      <c r="N65" s="183"/>
      <c r="O65" s="183"/>
      <c r="P65" s="183"/>
      <c r="Q65" s="183"/>
      <c r="R65" s="183"/>
      <c r="S65" s="183"/>
      <c r="T65" s="183"/>
      <c r="U65" s="183"/>
      <c r="V65" s="183"/>
      <c r="W65" s="25"/>
      <c r="X65" s="422"/>
      <c r="Y65" s="422"/>
      <c r="Z65" s="422"/>
      <c r="AA65" s="422"/>
      <c r="AB65" s="422"/>
      <c r="AC65" s="183"/>
      <c r="AD65" s="183"/>
      <c r="AE65" s="183"/>
      <c r="AF65" s="183"/>
      <c r="AG65" s="183"/>
      <c r="AH65" s="183"/>
      <c r="AI65" s="183"/>
      <c r="AJ65" s="183"/>
      <c r="AK65" s="183"/>
      <c r="AL65" s="183"/>
      <c r="AM65" s="183"/>
      <c r="AN65" s="183"/>
      <c r="AO65" s="183"/>
      <c r="AQ65" s="183"/>
    </row>
    <row r="66" spans="2:43" ht="18" hidden="1" customHeight="1" thickBot="1" x14ac:dyDescent="0.25">
      <c r="B66" s="829"/>
      <c r="C66" s="836"/>
      <c r="D66" s="837"/>
      <c r="E66" s="837"/>
      <c r="F66" s="837"/>
      <c r="G66" s="838"/>
      <c r="H66" s="245"/>
      <c r="I66" s="150" t="s">
        <v>139</v>
      </c>
      <c r="J66" s="850"/>
      <c r="K66" s="851"/>
      <c r="L66" s="852"/>
      <c r="N66" s="183"/>
      <c r="O66" s="183"/>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Q66" s="183"/>
    </row>
    <row r="67" spans="2:43" hidden="1" x14ac:dyDescent="0.2"/>
    <row r="68" spans="2:43" ht="22.5" customHeight="1" thickBot="1" x14ac:dyDescent="0.25">
      <c r="B68" s="816" t="s">
        <v>140</v>
      </c>
      <c r="C68" s="817"/>
      <c r="D68" s="817"/>
      <c r="E68" s="817"/>
      <c r="F68" s="817"/>
      <c r="G68" s="817"/>
      <c r="H68" s="817"/>
      <c r="I68" s="817"/>
      <c r="J68" s="817"/>
      <c r="K68" s="817"/>
      <c r="L68" s="817"/>
    </row>
    <row r="69" spans="2:43" ht="12.75" customHeight="1" x14ac:dyDescent="0.2">
      <c r="B69" s="818"/>
      <c r="C69" s="819"/>
      <c r="D69" s="819"/>
      <c r="E69" s="819"/>
      <c r="F69" s="819"/>
      <c r="G69" s="819"/>
      <c r="H69" s="819"/>
      <c r="I69" s="819"/>
      <c r="J69" s="819"/>
      <c r="K69" s="819"/>
      <c r="L69" s="820"/>
    </row>
    <row r="70" spans="2:43" ht="12.75" customHeight="1" x14ac:dyDescent="0.2">
      <c r="B70" s="821"/>
      <c r="C70" s="822"/>
      <c r="D70" s="822"/>
      <c r="E70" s="822"/>
      <c r="F70" s="822"/>
      <c r="G70" s="822"/>
      <c r="H70" s="822"/>
      <c r="I70" s="822"/>
      <c r="J70" s="822"/>
      <c r="K70" s="822"/>
      <c r="L70" s="823"/>
    </row>
    <row r="71" spans="2:43" ht="12.75" customHeight="1" x14ac:dyDescent="0.2">
      <c r="B71" s="821"/>
      <c r="C71" s="822"/>
      <c r="D71" s="822"/>
      <c r="E71" s="822"/>
      <c r="F71" s="822"/>
      <c r="G71" s="822"/>
      <c r="H71" s="822"/>
      <c r="I71" s="822"/>
      <c r="J71" s="822"/>
      <c r="K71" s="822"/>
      <c r="L71" s="823"/>
    </row>
    <row r="72" spans="2:43" ht="12.75" customHeight="1" x14ac:dyDescent="0.2">
      <c r="B72" s="821"/>
      <c r="C72" s="822"/>
      <c r="D72" s="822"/>
      <c r="E72" s="822"/>
      <c r="F72" s="822"/>
      <c r="G72" s="822"/>
      <c r="H72" s="822"/>
      <c r="I72" s="822"/>
      <c r="J72" s="822"/>
      <c r="K72" s="822"/>
      <c r="L72" s="823"/>
    </row>
    <row r="73" spans="2:43" ht="12.75" customHeight="1" x14ac:dyDescent="0.2">
      <c r="B73" s="821"/>
      <c r="C73" s="822"/>
      <c r="D73" s="822"/>
      <c r="E73" s="822"/>
      <c r="F73" s="822"/>
      <c r="G73" s="822"/>
      <c r="H73" s="822"/>
      <c r="I73" s="822"/>
      <c r="J73" s="822"/>
      <c r="K73" s="822"/>
      <c r="L73" s="823"/>
    </row>
    <row r="74" spans="2:43" ht="12.75" customHeight="1" x14ac:dyDescent="0.2">
      <c r="B74" s="821"/>
      <c r="C74" s="822"/>
      <c r="D74" s="822"/>
      <c r="E74" s="822"/>
      <c r="F74" s="822"/>
      <c r="G74" s="822"/>
      <c r="H74" s="822"/>
      <c r="I74" s="822"/>
      <c r="J74" s="822"/>
      <c r="K74" s="822"/>
      <c r="L74" s="823"/>
    </row>
    <row r="75" spans="2:43" ht="12.75" customHeight="1" x14ac:dyDescent="0.2">
      <c r="B75" s="821"/>
      <c r="C75" s="822"/>
      <c r="D75" s="822"/>
      <c r="E75" s="822"/>
      <c r="F75" s="822"/>
      <c r="G75" s="822"/>
      <c r="H75" s="822"/>
      <c r="I75" s="822"/>
      <c r="J75" s="822"/>
      <c r="K75" s="822"/>
      <c r="L75" s="823"/>
    </row>
    <row r="76" spans="2:43" ht="12.75" customHeight="1" x14ac:dyDescent="0.2">
      <c r="B76" s="821"/>
      <c r="C76" s="822"/>
      <c r="D76" s="822"/>
      <c r="E76" s="822"/>
      <c r="F76" s="822"/>
      <c r="G76" s="822"/>
      <c r="H76" s="822"/>
      <c r="I76" s="822"/>
      <c r="J76" s="822"/>
      <c r="K76" s="822"/>
      <c r="L76" s="823"/>
    </row>
    <row r="77" spans="2:43" ht="12.75" customHeight="1" x14ac:dyDescent="0.2">
      <c r="B77" s="821"/>
      <c r="C77" s="822"/>
      <c r="D77" s="822"/>
      <c r="E77" s="822"/>
      <c r="F77" s="822"/>
      <c r="G77" s="822"/>
      <c r="H77" s="822"/>
      <c r="I77" s="822"/>
      <c r="J77" s="822"/>
      <c r="K77" s="822"/>
      <c r="L77" s="823"/>
    </row>
    <row r="78" spans="2:43" ht="12.75" customHeight="1" x14ac:dyDescent="0.2">
      <c r="B78" s="821"/>
      <c r="C78" s="822"/>
      <c r="D78" s="822"/>
      <c r="E78" s="822"/>
      <c r="F78" s="822"/>
      <c r="G78" s="822"/>
      <c r="H78" s="822"/>
      <c r="I78" s="822"/>
      <c r="J78" s="822"/>
      <c r="K78" s="822"/>
      <c r="L78" s="823"/>
    </row>
    <row r="79" spans="2:43" ht="12.75" customHeight="1" x14ac:dyDescent="0.2">
      <c r="B79" s="821"/>
      <c r="C79" s="822"/>
      <c r="D79" s="822"/>
      <c r="E79" s="822"/>
      <c r="F79" s="822"/>
      <c r="G79" s="822"/>
      <c r="H79" s="822"/>
      <c r="I79" s="822"/>
      <c r="J79" s="822"/>
      <c r="K79" s="822"/>
      <c r="L79" s="823"/>
    </row>
    <row r="80" spans="2:43" ht="12.75" customHeight="1" x14ac:dyDescent="0.2">
      <c r="B80" s="821"/>
      <c r="C80" s="822"/>
      <c r="D80" s="822"/>
      <c r="E80" s="822"/>
      <c r="F80" s="822"/>
      <c r="G80" s="822"/>
      <c r="H80" s="822"/>
      <c r="I80" s="822"/>
      <c r="J80" s="822"/>
      <c r="K80" s="822"/>
      <c r="L80" s="823"/>
    </row>
    <row r="81" spans="2:12" ht="12.75" customHeight="1" x14ac:dyDescent="0.2">
      <c r="B81" s="821"/>
      <c r="C81" s="822"/>
      <c r="D81" s="822"/>
      <c r="E81" s="822"/>
      <c r="F81" s="822"/>
      <c r="G81" s="822"/>
      <c r="H81" s="822"/>
      <c r="I81" s="822"/>
      <c r="J81" s="822"/>
      <c r="K81" s="822"/>
      <c r="L81" s="823"/>
    </row>
    <row r="82" spans="2:12" ht="12.75" customHeight="1" x14ac:dyDescent="0.2">
      <c r="B82" s="821"/>
      <c r="C82" s="822"/>
      <c r="D82" s="822"/>
      <c r="E82" s="822"/>
      <c r="F82" s="822"/>
      <c r="G82" s="822"/>
      <c r="H82" s="822"/>
      <c r="I82" s="822"/>
      <c r="J82" s="822"/>
      <c r="K82" s="822"/>
      <c r="L82" s="823"/>
    </row>
    <row r="83" spans="2:12" ht="12.75" customHeight="1" thickBot="1" x14ac:dyDescent="0.25">
      <c r="B83" s="824"/>
      <c r="C83" s="825"/>
      <c r="D83" s="825"/>
      <c r="E83" s="825"/>
      <c r="F83" s="825"/>
      <c r="G83" s="825"/>
      <c r="H83" s="825"/>
      <c r="I83" s="825"/>
      <c r="J83" s="825"/>
      <c r="K83" s="825"/>
      <c r="L83" s="826"/>
    </row>
  </sheetData>
  <sheetProtection selectLockedCells="1"/>
  <dataConsolidate/>
  <mergeCells count="59">
    <mergeCell ref="B4:D4"/>
    <mergeCell ref="H4:J4"/>
    <mergeCell ref="B6:G6"/>
    <mergeCell ref="I6:L6"/>
    <mergeCell ref="D7:E7"/>
    <mergeCell ref="I7:J7"/>
    <mergeCell ref="D8:E8"/>
    <mergeCell ref="I8:J8"/>
    <mergeCell ref="D9:E9"/>
    <mergeCell ref="I9:J9"/>
    <mergeCell ref="D10:E10"/>
    <mergeCell ref="I10:L10"/>
    <mergeCell ref="B22:L22"/>
    <mergeCell ref="D11:E11"/>
    <mergeCell ref="D12:E12"/>
    <mergeCell ref="D13:E13"/>
    <mergeCell ref="D14:E14"/>
    <mergeCell ref="J14:K14"/>
    <mergeCell ref="D15:E15"/>
    <mergeCell ref="I15:L15"/>
    <mergeCell ref="D16:E16"/>
    <mergeCell ref="D17:E17"/>
    <mergeCell ref="D18:E18"/>
    <mergeCell ref="D19:E19"/>
    <mergeCell ref="J20:K20"/>
    <mergeCell ref="D40:E40"/>
    <mergeCell ref="G40:H40"/>
    <mergeCell ref="B42:L42"/>
    <mergeCell ref="C46:D46"/>
    <mergeCell ref="F47:I47"/>
    <mergeCell ref="J47:L47"/>
    <mergeCell ref="B49:E49"/>
    <mergeCell ref="Q49:S49"/>
    <mergeCell ref="J50:K50"/>
    <mergeCell ref="Q50:S50"/>
    <mergeCell ref="G51:H51"/>
    <mergeCell ref="J51:K51"/>
    <mergeCell ref="B59:B60"/>
    <mergeCell ref="C59:G60"/>
    <mergeCell ref="J59:L59"/>
    <mergeCell ref="B53:G53"/>
    <mergeCell ref="I53:L53"/>
    <mergeCell ref="B54:C54"/>
    <mergeCell ref="J54:L54"/>
    <mergeCell ref="B55:C55"/>
    <mergeCell ref="J55:L55"/>
    <mergeCell ref="B56:C56"/>
    <mergeCell ref="I56:L56"/>
    <mergeCell ref="I57:L57"/>
    <mergeCell ref="B58:G58"/>
    <mergeCell ref="J58:L58"/>
    <mergeCell ref="B68:L68"/>
    <mergeCell ref="B69:L83"/>
    <mergeCell ref="B61:B66"/>
    <mergeCell ref="C61:G66"/>
    <mergeCell ref="I61:L61"/>
    <mergeCell ref="J62:L62"/>
    <mergeCell ref="J63:L64"/>
    <mergeCell ref="J66:L66"/>
  </mergeCells>
  <conditionalFormatting sqref="E51 J51">
    <cfRule type="cellIs" dxfId="44" priority="15" operator="equal">
      <formula>"Board of Directors"</formula>
    </cfRule>
  </conditionalFormatting>
  <conditionalFormatting sqref="E51">
    <cfRule type="colorScale" priority="12">
      <colorScale>
        <cfvo type="num" val="3"/>
        <cfvo type="num" val="4"/>
        <cfvo type="num" val="6"/>
        <color rgb="FF92D050"/>
        <color rgb="FFFFEB84"/>
        <color rgb="FFFF0000"/>
      </colorScale>
    </cfRule>
  </conditionalFormatting>
  <conditionalFormatting sqref="H25:H28">
    <cfRule type="cellIs" dxfId="43" priority="14" operator="equal">
      <formula>0.5</formula>
    </cfRule>
  </conditionalFormatting>
  <conditionalFormatting sqref="H35:H39">
    <cfRule type="cellIs" dxfId="42" priority="10" operator="equal">
      <formula>"Exc"</formula>
    </cfRule>
  </conditionalFormatting>
  <conditionalFormatting sqref="I51">
    <cfRule type="cellIs" dxfId="41" priority="11" operator="notEqual">
      <formula>"Yes"</formula>
    </cfRule>
  </conditionalFormatting>
  <conditionalFormatting sqref="J18:J19">
    <cfRule type="containsBlanks" dxfId="40" priority="5">
      <formula>LEN(TRIM(J18))=0</formula>
    </cfRule>
  </conditionalFormatting>
  <conditionalFormatting sqref="K16">
    <cfRule type="cellIs" dxfId="39" priority="7" operator="equal">
      <formula>"Disc applied"</formula>
    </cfRule>
  </conditionalFormatting>
  <conditionalFormatting sqref="K49">
    <cfRule type="expression" dxfId="38" priority="1">
      <formula>"&lt;100"</formula>
    </cfRule>
    <cfRule type="expression" dxfId="37" priority="2">
      <formula>"&gt;=100"</formula>
    </cfRule>
  </conditionalFormatting>
  <conditionalFormatting sqref="L20">
    <cfRule type="cellIs" dxfId="36" priority="8" operator="equal">
      <formula>$L$17</formula>
    </cfRule>
  </conditionalFormatting>
  <conditionalFormatting sqref="L51">
    <cfRule type="cellIs" dxfId="35" priority="16" stopIfTrue="1" operator="equal">
      <formula>"No"</formula>
    </cfRule>
  </conditionalFormatting>
  <dataValidations count="21">
    <dataValidation type="list" allowBlank="1" showInputMessage="1" showErrorMessage="1" sqref="J21" xr:uid="{649A77A7-9D09-431F-A5E8-4E3B64A9C182}">
      <formula1>$A$190:$A$192</formula1>
    </dataValidation>
    <dataValidation type="list" allowBlank="1" showInputMessage="1" showErrorMessage="1" sqref="K16" xr:uid="{2299156B-85FB-4165-95D7-3EE988A277A9}">
      <formula1>"Disc applied"</formula1>
    </dataValidation>
    <dataValidation type="list" allowBlank="1" showInputMessage="1" showErrorMessage="1" sqref="J20:K20" xr:uid="{6605BCCF-B6D5-41A1-A387-A0194DABBC74}">
      <formula1>Location</formula1>
    </dataValidation>
    <dataValidation type="list" allowBlank="1" showInputMessage="1" showErrorMessage="1" sqref="B30" xr:uid="{75FFDEFA-09DB-4F13-908D-B8D8B9A1AD7C}">
      <formula1>"Car Loan/Lease,Personal Loan"</formula1>
    </dataValidation>
    <dataValidation type="list" allowBlank="1" showInputMessage="1" showErrorMessage="1" sqref="B26:B28" xr:uid="{3120031D-3D80-4216-947D-B66866E907E6}">
      <formula1>"Home Loan,Investment Loan"</formula1>
    </dataValidation>
    <dataValidation type="list" allowBlank="1" showInputMessage="1" showErrorMessage="1" sqref="B35" xr:uid="{54BEDE64-9E28-40F6-A376-AC6F55F0DAC1}">
      <formula1>"Overdraft,Credit Card"</formula1>
    </dataValidation>
    <dataValidation type="whole" allowBlank="1" showInputMessage="1" showErrorMessage="1" sqref="C8" xr:uid="{F0DB016D-B15A-4F3C-98BE-5C87DDCD2731}">
      <formula1>1</formula1>
      <formula2>300000</formula2>
    </dataValidation>
    <dataValidation type="list" allowBlank="1" showInputMessage="1" showErrorMessage="1" sqref="M7:M9 M12:M13" xr:uid="{57500217-5732-4739-A8CA-FC00B90A3133}">
      <formula1>App</formula1>
    </dataValidation>
    <dataValidation type="list" allowBlank="1" showInputMessage="1" showErrorMessage="1" sqref="C57:D57" xr:uid="{BDA05FEC-D73F-4739-B7CD-8BB81A6D657C}">
      <formula1>CreditReport</formula1>
    </dataValidation>
    <dataValidation type="whole" allowBlank="1" showInputMessage="1" showErrorMessage="1" error="Exceeds maximum term allowable" sqref="G24:G28" xr:uid="{F8AE5530-5237-408B-A7D8-A6CA46D2F75F}">
      <formula1>0</formula1>
      <formula2>360</formula2>
    </dataValidation>
    <dataValidation type="list" allowBlank="1" showInputMessage="1" showErrorMessage="1" sqref="D25:D28" xr:uid="{2801E815-E379-4894-B0C9-0277BE2604D2}">
      <formula1>Interest_Type</formula1>
    </dataValidation>
    <dataValidation type="decimal" allowBlank="1" showInputMessage="1" showErrorMessage="1" error="Enter value_x000a_" sqref="E55:E56" xr:uid="{EB42C61E-4061-4135-B1CE-89D210DF6953}">
      <formula1>0</formula1>
      <formula2>1</formula2>
    </dataValidation>
    <dataValidation type="whole" allowBlank="1" showInputMessage="1" showErrorMessage="1" error="Enter value" sqref="F55:F56" xr:uid="{C747CBDA-3202-40A9-ADBF-B9AB82D1EC6B}">
      <formula1>0</formula1>
      <formula2>5000000</formula2>
    </dataValidation>
    <dataValidation allowBlank="1" showInputMessage="1" showErrorMessage="1" error="Enter value" sqref="F57 E25:E39" xr:uid="{4E4F2014-F4E9-4F8E-B311-4E17A7798727}"/>
    <dataValidation type="list" allowBlank="1" showInputMessage="1" showErrorMessage="1" sqref="H29:H31 H33:H34" xr:uid="{90225B2B-1DA8-4349-8A59-8C8734C9CAE8}">
      <formula1>"Y"</formula1>
    </dataValidation>
    <dataValidation type="list" allowBlank="1" showInputMessage="1" showErrorMessage="1" sqref="H32" xr:uid="{BB7FF864-8AF9-42B7-8B5B-AFDCCD285EEF}">
      <formula1>"50%"</formula1>
    </dataValidation>
    <dataValidation allowBlank="1" showInputMessage="1" showErrorMessage="1" error="Enter value_x000a_" sqref="J12:J13 L7:L9" xr:uid="{9BC5FE8A-F61A-4DF5-89EF-71AF5C39FFD6}"/>
    <dataValidation type="whole" allowBlank="1" showInputMessage="1" showErrorMessage="1" error="Invalid number" sqref="J17" xr:uid="{2E99E4CD-8747-444F-A24A-D9DD79C64AAA}">
      <formula1>0</formula1>
      <formula2>6</formula2>
    </dataValidation>
    <dataValidation type="whole" allowBlank="1" showInputMessage="1" showErrorMessage="1" error="Invalid number" sqref="J16" xr:uid="{B35A34CF-1F5D-40D6-A526-E2DDECE8A7F7}">
      <formula1>1</formula1>
      <formula2>2</formula2>
    </dataValidation>
    <dataValidation type="list" allowBlank="1" showInputMessage="1" showErrorMessage="1" sqref="I51 G44:G45 G55:G57" xr:uid="{7357B21A-E142-4EEB-9790-DA5FA9D6401E}">
      <formula1>Confirmed</formula1>
    </dataValidation>
    <dataValidation type="list" allowBlank="1" showInputMessage="1" showErrorMessage="1" sqref="D29:D34 K7:K9 K12:K13 G8:G19" xr:uid="{5BCA8660-9EF9-4283-89D3-46A4BA50CD37}">
      <formula1>Period</formula1>
    </dataValidation>
  </dataValidations>
  <pageMargins left="0.7" right="0.7" top="0.75" bottom="0.75" header="0.3" footer="0.3"/>
  <pageSetup paperSize="9" scale="66"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42B5CEFC-C899-4660-AF75-01D8AF99E93C}">
          <x14:formula1>
            <xm:f>Tables!$A$379:$A$382</xm:f>
          </x14:formula1>
          <xm:sqref>F34 F33</xm:sqref>
        </x14:dataValidation>
        <x14:dataValidation type="list" allowBlank="1" showInputMessage="1" showErrorMessage="1" xr:uid="{6AF1CAE3-00AB-4E77-80E8-7227B8E7014B}">
          <x14:formula1>
            <xm:f>Tables!$A$385:$A$387</xm:f>
          </x14:formula1>
          <xm:sqref>J18:J19</xm:sqref>
        </x14:dataValidation>
        <x14:dataValidation type="list" allowBlank="1" showInputMessage="1" showErrorMessage="1" xr:uid="{A73C8455-4A3D-452A-A6DE-FA2ECEA20799}">
          <x14:formula1>
            <xm:f>Tables!$C$373:$C$374</xm:f>
          </x14:formula1>
          <xm:sqref>H25:H28</xm:sqref>
        </x14:dataValidation>
        <x14:dataValidation type="list" allowBlank="1" showInputMessage="1" showErrorMessage="1" xr:uid="{8D071052-524B-41D9-B59C-2C1589349813}">
          <x14:formula1>
            <xm:f>Tables!$A$385:$A$386</xm:f>
          </x14:formula1>
          <xm:sqref>K44:K45</xm:sqref>
        </x14:dataValidation>
        <x14:dataValidation type="list" allowBlank="1" showInputMessage="1" showErrorMessage="1" xr:uid="{3DCD1BDE-4508-43C5-A2B0-1999553C5511}">
          <x14:formula1>
            <xm:f>Tables!$A$389:$A$391</xm:f>
          </x14:formula1>
          <xm:sqref>I44:I46</xm:sqref>
        </x14:dataValidation>
        <x14:dataValidation type="list" allowBlank="1" showInputMessage="1" showErrorMessage="1" xr:uid="{2A43699E-28A0-4962-9D2B-CAB25DE018BD}">
          <x14:formula1>
            <xm:f>Tables!$A$394:$A$400</xm:f>
          </x14:formula1>
          <xm:sqref>F44:F45</xm:sqref>
        </x14:dataValidation>
        <x14:dataValidation type="list" allowBlank="1" showInputMessage="1" showErrorMessage="1" xr:uid="{382DD01B-97D6-44B8-8DB6-CC4EFEE742BE}">
          <x14:formula1>
            <xm:f>Tables!$C$379:$C$380</xm:f>
          </x14:formula1>
          <xm:sqref>B39</xm:sqref>
        </x14:dataValidation>
        <x14:dataValidation type="list" allowBlank="1" showInputMessage="1" showErrorMessage="1" xr:uid="{1C225311-D0C6-4BFA-9113-50FFF5E2615B}">
          <x14:formula1>
            <xm:f>Tables!$D$373:$D$374</xm:f>
          </x14:formula1>
          <xm:sqref>H35:H39</xm:sqref>
        </x14:dataValidation>
        <x14:dataValidation type="list" allowBlank="1" showInputMessage="1" showErrorMessage="1" xr:uid="{A1B1EFD1-4E17-4F15-84A0-6F7024C585C1}">
          <x14:formula1>
            <xm:f>Tables!$A$358:$A$362</xm:f>
          </x14:formula1>
          <xm:sqref>I7:J9</xm:sqref>
        </x14:dataValidation>
        <x14:dataValidation type="list" allowBlank="1" showInputMessage="1" showErrorMessage="1" xr:uid="{2902EFF7-49A2-422E-893D-A30C7A54037D}">
          <x14:formula1>
            <xm:f>Tables!$C$369:$C$370</xm:f>
          </x14:formula1>
          <xm:sqref>C18 C12</xm:sqref>
        </x14:dataValidation>
        <x14:dataValidation type="list" allowBlank="1" showInputMessage="1" showErrorMessage="1" xr:uid="{18DB7B87-0518-4096-A687-969BB9548E33}">
          <x14:formula1>
            <xm:f>Tables!$C$365:$C$366</xm:f>
          </x14:formula1>
          <xm:sqref>C13 C19</xm:sqref>
        </x14:dataValidation>
        <x14:dataValidation type="list" allowBlank="1" showInputMessage="1" showErrorMessage="1" xr:uid="{235FB8B3-E6D0-44D7-BA37-65BFA8C07307}">
          <x14:formula1>
            <xm:f>Tables_Brokers!$A$354:$A$421</xm:f>
          </x14:formula1>
          <xm:sqref>D24</xm:sqref>
        </x14:dataValidation>
        <x14:dataValidation type="list" allowBlank="1" showInputMessage="1" showErrorMessage="1" xr:uid="{5E2B22E8-C044-4D9B-8363-9BBC0FDD3241}">
          <x14:formula1>
            <xm:f>Tables!$F$4:$F$5</xm:f>
          </x14:formula1>
          <xm:sqref>J66:L66</xm:sqref>
        </x14:dataValidation>
        <x14:dataValidation type="list" allowBlank="1" showInputMessage="1" showErrorMessage="1" xr:uid="{EC892940-813B-42DC-94D8-DD3611B55D17}">
          <x14:formula1>
            <xm:f>Tables!$D$4:$D$9</xm:f>
          </x14:formula1>
          <xm:sqref>J54:L54</xm:sqref>
        </x14:dataValidation>
        <x14:dataValidation type="list" allowBlank="1" showInputMessage="1" showErrorMessage="1" xr:uid="{0FF6F219-704F-42C6-B4D5-0F89BC9B6944}">
          <x14:formula1>
            <xm:f>Tables!$A$4:$A$8</xm:f>
          </x14:formula1>
          <xm:sqref>J58:L58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87A86-8866-4541-929F-4B6896797FD9}">
  <sheetPr codeName="Sheet11"/>
  <dimension ref="A1:M22"/>
  <sheetViews>
    <sheetView zoomScale="90" zoomScaleNormal="90" workbookViewId="0">
      <selection activeCell="D19" sqref="D19"/>
    </sheetView>
  </sheetViews>
  <sheetFormatPr defaultRowHeight="12.75" x14ac:dyDescent="0.2"/>
  <cols>
    <col min="1" max="1" width="86.42578125" customWidth="1"/>
    <col min="2" max="2" width="14.85546875" customWidth="1"/>
    <col min="12" max="13" width="0" hidden="1" customWidth="1"/>
  </cols>
  <sheetData>
    <row r="1" spans="1:13" s="653" customFormat="1" ht="21.75" customHeight="1" x14ac:dyDescent="0.25">
      <c r="A1" s="657" t="s">
        <v>518</v>
      </c>
      <c r="B1" s="652"/>
    </row>
    <row r="2" spans="1:13" s="653" customFormat="1" ht="15.75" x14ac:dyDescent="0.25">
      <c r="B2" s="652"/>
      <c r="D2" s="652" t="s">
        <v>519</v>
      </c>
    </row>
    <row r="3" spans="1:13" s="653" customFormat="1" ht="15.75" x14ac:dyDescent="0.25">
      <c r="A3" s="652" t="s">
        <v>520</v>
      </c>
      <c r="B3" s="652" t="s">
        <v>521</v>
      </c>
    </row>
    <row r="4" spans="1:13" s="653" customFormat="1" ht="15.75" x14ac:dyDescent="0.25">
      <c r="A4" s="654"/>
      <c r="M4" s="653" t="s">
        <v>270</v>
      </c>
    </row>
    <row r="5" spans="1:13" s="653" customFormat="1" ht="15.75" x14ac:dyDescent="0.25">
      <c r="A5" s="654" t="s">
        <v>522</v>
      </c>
      <c r="B5" s="663"/>
      <c r="C5" s="655"/>
      <c r="M5" s="653" t="s">
        <v>271</v>
      </c>
    </row>
    <row r="6" spans="1:13" s="653" customFormat="1" ht="15.75" x14ac:dyDescent="0.25">
      <c r="A6" s="654"/>
    </row>
    <row r="7" spans="1:13" s="653" customFormat="1" ht="15.75" x14ac:dyDescent="0.25">
      <c r="A7" s="654" t="s">
        <v>523</v>
      </c>
      <c r="B7" s="663"/>
    </row>
    <row r="8" spans="1:13" s="653" customFormat="1" ht="15.75" x14ac:dyDescent="0.25">
      <c r="A8" s="654"/>
    </row>
    <row r="9" spans="1:13" s="653" customFormat="1" ht="15.75" x14ac:dyDescent="0.25">
      <c r="A9" s="654" t="s">
        <v>524</v>
      </c>
      <c r="B9" s="663"/>
    </row>
    <row r="10" spans="1:13" s="653" customFormat="1" ht="15.75" x14ac:dyDescent="0.25">
      <c r="A10" s="654"/>
    </row>
    <row r="11" spans="1:13" s="653" customFormat="1" ht="15.75" x14ac:dyDescent="0.25">
      <c r="A11" s="654" t="s">
        <v>525</v>
      </c>
      <c r="B11" s="663"/>
    </row>
    <row r="12" spans="1:13" s="653" customFormat="1" ht="15.75" x14ac:dyDescent="0.25">
      <c r="A12" s="654"/>
    </row>
    <row r="13" spans="1:13" s="653" customFormat="1" ht="15.75" x14ac:dyDescent="0.25">
      <c r="A13" s="654" t="s">
        <v>526</v>
      </c>
      <c r="B13" s="663"/>
    </row>
    <row r="14" spans="1:13" s="653" customFormat="1" ht="15.75" x14ac:dyDescent="0.25">
      <c r="A14" s="658" t="s">
        <v>527</v>
      </c>
    </row>
    <row r="15" spans="1:13" s="653" customFormat="1" ht="15.75" x14ac:dyDescent="0.25">
      <c r="A15" s="654" t="s">
        <v>528</v>
      </c>
      <c r="B15" s="663"/>
    </row>
    <row r="16" spans="1:13" s="653" customFormat="1" ht="15.75" x14ac:dyDescent="0.25">
      <c r="A16" s="658" t="s">
        <v>527</v>
      </c>
      <c r="B16" s="656"/>
    </row>
    <row r="17" spans="1:2" s="653" customFormat="1" ht="15.75" x14ac:dyDescent="0.25">
      <c r="A17" s="654" t="s">
        <v>529</v>
      </c>
      <c r="B17" s="663"/>
    </row>
    <row r="18" spans="1:2" s="653" customFormat="1" ht="15.75" x14ac:dyDescent="0.25">
      <c r="A18" s="654"/>
    </row>
    <row r="19" spans="1:2" s="653" customFormat="1" ht="14.25" customHeight="1" x14ac:dyDescent="0.25">
      <c r="A19" s="654" t="s">
        <v>530</v>
      </c>
      <c r="B19" s="663"/>
    </row>
    <row r="20" spans="1:2" s="653" customFormat="1" ht="15.75" x14ac:dyDescent="0.25"/>
    <row r="21" spans="1:2" s="653" customFormat="1" ht="15.75" x14ac:dyDescent="0.25">
      <c r="A21" s="653" t="s">
        <v>531</v>
      </c>
      <c r="B21" s="663"/>
    </row>
    <row r="22" spans="1:2" s="653" customFormat="1" ht="15.75" x14ac:dyDescent="0.25"/>
  </sheetData>
  <sheetProtection algorithmName="SHA-512" hashValue="wJKP45DFgiHcrxAYD8TG75JuU1C8QBdrOty/kXgu3RfbtRQ8yMmh9cHgCtIaWaoiPn1XTFo9b5XeWR9Es+LzzA==" saltValue="bsNfrWoBVj6p/1wviABPSQ==" spinCount="100000" sheet="1" selectLockedCells="1"/>
  <protectedRanges>
    <protectedRange sqref="B5 B21 B7" name="Range1"/>
  </protectedRanges>
  <dataValidations count="1">
    <dataValidation type="list" allowBlank="1" showInputMessage="1" showErrorMessage="1" sqref="B5 B9 B11 B13 B19 B21 B15 B7" xr:uid="{A795B48C-E3B1-41A5-BB25-5306C19F90D3}">
      <formula1>$M$4:$M$5</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413C-2B58-44C9-BF40-B5EB34A98118}">
  <sheetPr codeName="Sheet14"/>
  <dimension ref="B1:F25"/>
  <sheetViews>
    <sheetView workbookViewId="0">
      <selection activeCell="C4" sqref="C4"/>
    </sheetView>
  </sheetViews>
  <sheetFormatPr defaultRowHeight="12.75" x14ac:dyDescent="0.2"/>
  <cols>
    <col min="1" max="1" width="2.85546875" customWidth="1"/>
    <col min="2" max="2" width="41.28515625" bestFit="1" customWidth="1"/>
    <col min="3" max="3" width="14.140625" style="46" customWidth="1"/>
    <col min="5" max="5" width="29.140625" bestFit="1" customWidth="1"/>
    <col min="6" max="6" width="14.42578125" customWidth="1"/>
  </cols>
  <sheetData>
    <row r="1" spans="2:6" x14ac:dyDescent="0.2">
      <c r="B1" s="367" t="s">
        <v>532</v>
      </c>
    </row>
    <row r="2" spans="2:6" ht="13.5" thickBot="1" x14ac:dyDescent="0.25"/>
    <row r="3" spans="2:6" x14ac:dyDescent="0.2">
      <c r="B3" s="566" t="s">
        <v>533</v>
      </c>
      <c r="C3" s="567"/>
      <c r="E3" s="566" t="s">
        <v>534</v>
      </c>
      <c r="F3" s="580"/>
    </row>
    <row r="4" spans="2:6" x14ac:dyDescent="0.2">
      <c r="B4" s="568" t="s">
        <v>535</v>
      </c>
      <c r="C4" s="569"/>
      <c r="E4" s="568" t="s">
        <v>536</v>
      </c>
      <c r="F4" s="581"/>
    </row>
    <row r="5" spans="2:6" x14ac:dyDescent="0.2">
      <c r="B5" s="568" t="s">
        <v>537</v>
      </c>
      <c r="C5" s="570">
        <v>0</v>
      </c>
      <c r="E5" s="568" t="s">
        <v>538</v>
      </c>
      <c r="F5" s="582">
        <v>6</v>
      </c>
    </row>
    <row r="6" spans="2:6" x14ac:dyDescent="0.2">
      <c r="B6" s="568" t="s">
        <v>539</v>
      </c>
      <c r="C6" s="571"/>
      <c r="E6" s="568" t="s">
        <v>540</v>
      </c>
      <c r="F6" s="583">
        <v>2.1999999999999999E-2</v>
      </c>
    </row>
    <row r="7" spans="2:6" x14ac:dyDescent="0.2">
      <c r="B7" s="568" t="s">
        <v>541</v>
      </c>
      <c r="C7" s="570"/>
      <c r="E7" s="584"/>
      <c r="F7" s="585"/>
    </row>
    <row r="8" spans="2:6" x14ac:dyDescent="0.2">
      <c r="B8" s="568" t="s">
        <v>542</v>
      </c>
      <c r="C8" s="572"/>
      <c r="E8" s="584"/>
      <c r="F8" s="585"/>
    </row>
    <row r="9" spans="2:6" x14ac:dyDescent="0.2">
      <c r="B9" s="568" t="s">
        <v>543</v>
      </c>
      <c r="C9" s="572"/>
      <c r="E9" s="568" t="s">
        <v>544</v>
      </c>
      <c r="F9" s="570"/>
    </row>
    <row r="10" spans="2:6" x14ac:dyDescent="0.2">
      <c r="B10" s="568" t="s">
        <v>545</v>
      </c>
      <c r="C10" s="573">
        <f>SUM(C4:C9)</f>
        <v>0</v>
      </c>
      <c r="E10" s="568" t="s">
        <v>546</v>
      </c>
      <c r="F10" s="570"/>
    </row>
    <row r="11" spans="2:6" ht="13.5" thickBot="1" x14ac:dyDescent="0.25">
      <c r="B11" s="568" t="s">
        <v>547</v>
      </c>
      <c r="C11" s="571">
        <f>+C10*F4/12*F5</f>
        <v>0</v>
      </c>
      <c r="E11" s="578" t="s">
        <v>548</v>
      </c>
      <c r="F11" s="586"/>
    </row>
    <row r="12" spans="2:6" ht="13.5" thickBot="1" x14ac:dyDescent="0.25">
      <c r="B12" s="574" t="s">
        <v>549</v>
      </c>
      <c r="C12" s="575">
        <f>C10+C11</f>
        <v>0</v>
      </c>
    </row>
    <row r="13" spans="2:6" x14ac:dyDescent="0.2">
      <c r="B13" s="574"/>
      <c r="C13" s="576"/>
    </row>
    <row r="14" spans="2:6" x14ac:dyDescent="0.2">
      <c r="B14" s="568" t="s">
        <v>550</v>
      </c>
      <c r="C14" s="577">
        <f>SUM(F9:F11)</f>
        <v>0</v>
      </c>
    </row>
    <row r="15" spans="2:6" ht="13.5" thickBot="1" x14ac:dyDescent="0.25">
      <c r="B15" s="578" t="s">
        <v>54</v>
      </c>
      <c r="C15" s="587" t="e">
        <f>+C12/C14</f>
        <v>#DIV/0!</v>
      </c>
    </row>
    <row r="16" spans="2:6" ht="13.5" thickBot="1" x14ac:dyDescent="0.25"/>
    <row r="17" spans="2:3" x14ac:dyDescent="0.2">
      <c r="B17" s="566" t="s">
        <v>551</v>
      </c>
      <c r="C17" s="567"/>
    </row>
    <row r="18" spans="2:3" x14ac:dyDescent="0.2">
      <c r="B18" s="568" t="s">
        <v>70</v>
      </c>
      <c r="C18" s="577">
        <f>+C12</f>
        <v>0</v>
      </c>
    </row>
    <row r="19" spans="2:3" x14ac:dyDescent="0.2">
      <c r="B19" s="568" t="s">
        <v>552</v>
      </c>
      <c r="C19" s="579">
        <f>-F9</f>
        <v>0</v>
      </c>
    </row>
    <row r="20" spans="2:3" x14ac:dyDescent="0.2">
      <c r="B20" s="568" t="s">
        <v>553</v>
      </c>
      <c r="C20" s="570">
        <f>+F9*F6</f>
        <v>0</v>
      </c>
    </row>
    <row r="21" spans="2:3" x14ac:dyDescent="0.2">
      <c r="B21" s="568" t="s">
        <v>554</v>
      </c>
      <c r="C21" s="570">
        <f>+F10*F7</f>
        <v>0</v>
      </c>
    </row>
    <row r="22" spans="2:3" ht="13.5" thickBot="1" x14ac:dyDescent="0.25">
      <c r="B22" s="574" t="s">
        <v>555</v>
      </c>
      <c r="C22" s="575">
        <f>SUM(C18:C21)</f>
        <v>0</v>
      </c>
    </row>
    <row r="23" spans="2:3" x14ac:dyDescent="0.2">
      <c r="B23" s="574"/>
      <c r="C23" s="576"/>
    </row>
    <row r="24" spans="2:3" x14ac:dyDescent="0.2">
      <c r="B24" s="568" t="s">
        <v>550</v>
      </c>
      <c r="C24" s="577">
        <f>+SUM(F10:F11)</f>
        <v>0</v>
      </c>
    </row>
    <row r="25" spans="2:3" ht="13.5" thickBot="1" x14ac:dyDescent="0.25">
      <c r="B25" s="578" t="s">
        <v>54</v>
      </c>
      <c r="C25" s="587" t="e">
        <f>+C22/C24</f>
        <v>#DIV/0!</v>
      </c>
    </row>
  </sheetData>
  <sheetProtection algorithmName="SHA-512" hashValue="XAV6MKEF8ZZYACdZ6u7FZYLloK9Dr0VCe7wBl4pfTambkygSnkMgvshoLCrsLBgzDqXXVFXEOY+q3/hjQmXhjQ==" saltValue="ubUhCSHid1p/aqLxfAn/0A==" spinCount="100000" sheet="1" objects="1" scenarios="1" selectLockedCell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dimension ref="A1:AB421"/>
  <sheetViews>
    <sheetView workbookViewId="0">
      <selection activeCell="D19" sqref="D19"/>
    </sheetView>
  </sheetViews>
  <sheetFormatPr defaultColWidth="9.140625" defaultRowHeight="12.75" x14ac:dyDescent="0.2"/>
  <cols>
    <col min="1" max="1" width="10.85546875" style="111" customWidth="1"/>
    <col min="2" max="4" width="9" style="111" customWidth="1"/>
    <col min="5" max="5" width="100.140625" style="111" customWidth="1"/>
    <col min="6" max="6" width="9.140625" style="111"/>
    <col min="7" max="7" width="9" style="111" bestFit="1" customWidth="1"/>
    <col min="8" max="8" width="9" style="111" customWidth="1"/>
    <col min="9" max="10" width="9.140625" style="111"/>
    <col min="11" max="11" width="9" style="111" bestFit="1" customWidth="1"/>
    <col min="12" max="12" width="9" style="111" customWidth="1"/>
    <col min="13" max="13" width="6.7109375" style="111" bestFit="1" customWidth="1"/>
    <col min="14" max="14" width="6.7109375" style="111" customWidth="1"/>
    <col min="15" max="15" width="9" style="111" bestFit="1" customWidth="1"/>
    <col min="16" max="16" width="9" style="111" customWidth="1"/>
    <col min="17" max="17" width="6.7109375" style="111" bestFit="1" customWidth="1"/>
    <col min="18" max="18" width="6.7109375" style="111" customWidth="1"/>
    <col min="19" max="19" width="9" style="111" bestFit="1" customWidth="1"/>
    <col min="20" max="20" width="9" style="111" customWidth="1"/>
    <col min="21" max="21" width="6.7109375" style="111" bestFit="1" customWidth="1"/>
    <col min="22" max="22" width="6.7109375" style="111" customWidth="1"/>
    <col min="23" max="23" width="9" style="111" bestFit="1" customWidth="1"/>
    <col min="24" max="24" width="9" style="111" customWidth="1"/>
    <col min="25" max="25" width="6.7109375" style="111" bestFit="1" customWidth="1"/>
    <col min="26" max="26" width="9" style="111" bestFit="1" customWidth="1"/>
    <col min="27" max="27" width="6.7109375" style="111" bestFit="1" customWidth="1"/>
    <col min="28" max="28" width="9" style="111" bestFit="1" customWidth="1"/>
    <col min="29" max="16384" width="9.140625" style="111"/>
  </cols>
  <sheetData>
    <row r="1" spans="1:28" ht="18.75" x14ac:dyDescent="0.2">
      <c r="A1" s="738"/>
      <c r="B1" s="739"/>
    </row>
    <row r="2" spans="1:28" x14ac:dyDescent="0.2">
      <c r="A2" s="739"/>
      <c r="B2" s="739"/>
    </row>
    <row r="3" spans="1:28" x14ac:dyDescent="0.2">
      <c r="A3" s="739"/>
      <c r="B3" s="739"/>
      <c r="D3" s="746"/>
      <c r="E3" s="746"/>
      <c r="F3" s="746"/>
    </row>
    <row r="4" spans="1:28" ht="21" x14ac:dyDescent="0.2">
      <c r="A4" s="739"/>
      <c r="B4" s="978"/>
      <c r="C4" s="978"/>
      <c r="D4" s="746"/>
      <c r="E4" s="747" t="s">
        <v>1654</v>
      </c>
      <c r="F4" s="747"/>
      <c r="G4" s="742"/>
      <c r="H4" s="742"/>
      <c r="I4" s="742"/>
      <c r="J4" s="742"/>
      <c r="K4" s="742"/>
    </row>
    <row r="5" spans="1:28" x14ac:dyDescent="0.2">
      <c r="A5" s="739"/>
      <c r="B5" s="739"/>
      <c r="D5" s="746"/>
      <c r="E5" s="746"/>
      <c r="F5" s="746"/>
    </row>
    <row r="6" spans="1:28" ht="28.5" x14ac:dyDescent="0.35">
      <c r="D6" s="746"/>
      <c r="E6" s="748" t="s">
        <v>1655</v>
      </c>
      <c r="F6" s="749"/>
      <c r="G6" s="743"/>
      <c r="H6" s="743"/>
      <c r="I6" s="743"/>
      <c r="J6" s="743"/>
      <c r="K6" s="744"/>
      <c r="L6" s="744"/>
      <c r="M6" s="744"/>
      <c r="N6" s="744"/>
      <c r="O6" s="744"/>
      <c r="P6" s="744"/>
      <c r="Q6" s="744"/>
    </row>
    <row r="7" spans="1:28" x14ac:dyDescent="0.2">
      <c r="A7" s="740"/>
      <c r="B7" s="740"/>
      <c r="C7" s="740"/>
      <c r="D7" s="750"/>
      <c r="E7" s="746"/>
      <c r="F7" s="746"/>
      <c r="S7" s="146"/>
      <c r="T7" s="563"/>
      <c r="V7" s="146"/>
      <c r="W7" s="146"/>
      <c r="X7" s="563"/>
      <c r="AA7" s="979"/>
      <c r="AB7" s="979"/>
    </row>
    <row r="8" spans="1:28" x14ac:dyDescent="0.2">
      <c r="A8" s="739"/>
      <c r="B8" s="739"/>
      <c r="C8" s="739"/>
      <c r="D8" s="739"/>
      <c r="E8" s="739"/>
      <c r="F8" s="739"/>
      <c r="G8" s="739"/>
      <c r="H8" s="739"/>
      <c r="I8" s="739"/>
      <c r="J8" s="739"/>
      <c r="K8" s="739"/>
      <c r="L8" s="739"/>
      <c r="M8" s="739"/>
      <c r="N8" s="739"/>
      <c r="O8" s="739"/>
      <c r="P8" s="739"/>
    </row>
    <row r="16" spans="1:28" x14ac:dyDescent="0.2">
      <c r="T16" s="741"/>
    </row>
    <row r="18" spans="11:15" x14ac:dyDescent="0.2">
      <c r="O18" s="739"/>
    </row>
    <row r="32" spans="11:15" x14ac:dyDescent="0.2">
      <c r="K32" s="739"/>
    </row>
    <row r="34" spans="9:9" x14ac:dyDescent="0.2">
      <c r="I34" s="739"/>
    </row>
    <row r="49" spans="5:5" x14ac:dyDescent="0.2">
      <c r="E49" s="111" t="s">
        <v>1662</v>
      </c>
    </row>
    <row r="299" spans="4:4" x14ac:dyDescent="0.2">
      <c r="D299"/>
    </row>
    <row r="416" spans="3:3" x14ac:dyDescent="0.2">
      <c r="C416" s="147"/>
    </row>
    <row r="417" spans="1:3" x14ac:dyDescent="0.2">
      <c r="C417" s="147"/>
    </row>
    <row r="418" spans="1:3" x14ac:dyDescent="0.2">
      <c r="C418" s="147"/>
    </row>
    <row r="421" spans="1:3" x14ac:dyDescent="0.2">
      <c r="A421" s="111">
        <v>2871</v>
      </c>
      <c r="B421" s="111" t="s">
        <v>556</v>
      </c>
    </row>
  </sheetData>
  <sheetProtection algorithmName="SHA-512" hashValue="qfq701LDg97w+bEE1AgraMRbcJagE44cDkO5PGa40BLqbzuh8E9s5J2G0SNqBdHyY1JYqjKwjFgJBRAx0vk+5w==" saltValue="FG8EHO+45AFOZevJkUbNYQ==" spinCount="100000" sheet="1" selectLockedCells="1"/>
  <mergeCells count="2">
    <mergeCell ref="B4:C4"/>
    <mergeCell ref="AA7:AB7"/>
  </mergeCells>
  <dataValidations count="1">
    <dataValidation type="whole" allowBlank="1" showInputMessage="1" showErrorMessage="1" sqref="B4" xr:uid="{7C0A9712-4F48-4FB4-BECB-D6761087C874}">
      <formula1>0</formula1>
      <formula2>9999</formula2>
    </dataValidation>
  </dataValidations>
  <hyperlinks>
    <hyperlink ref="E6" r:id="rId1" display="https://aus01.safelinks.protection.outlook.com/?url=https%3A%2F%2Fwww.qbe.com%2Flmi%2Ftools-resources%2Flocation-wizard&amp;data=05%7C02%7Cktowerton%40movebank.com.au%7Cce7fc65e31ef4d5dea3108dddf897a96%7C4bdbf541cf8b455e932c43a10d297075%7C0%7C0%7C638912504129635397%7CUnknown%7CTWFpbGZsb3d8eyJFbXB0eU1hcGkiOnRydWUsIlYiOiIwLjAuMDAwMCIsIlAiOiJXaW4zMiIsIkFOIjoiTWFpbCIsIldUIjoyfQ%3D%3D%7C0%7C%7C%7C&amp;sdata=gelLo6ts12OTCh0zLVFSB%2Bm9nR8iwihugFDocm3eipM%3D&amp;reserved=0" xr:uid="{5680004A-53EB-4209-80D1-BE092CDA072E}"/>
  </hyperlinks>
  <pageMargins left="0.7" right="0.7" top="0.75" bottom="0.75" header="0.3" footer="0.3"/>
  <pageSetup paperSize="9"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209B8-AAB7-4C91-99C3-71815ECBC110}">
  <sheetPr codeName="Sheet16"/>
  <dimension ref="A1:V34"/>
  <sheetViews>
    <sheetView zoomScale="85" zoomScaleNormal="85" workbookViewId="0">
      <selection activeCell="D19" sqref="D19"/>
    </sheetView>
  </sheetViews>
  <sheetFormatPr defaultColWidth="8.7109375" defaultRowHeight="15" x14ac:dyDescent="0.25"/>
  <cols>
    <col min="1" max="1" width="8.7109375" style="724"/>
    <col min="2" max="2" width="32.7109375" style="724" bestFit="1" customWidth="1"/>
    <col min="3" max="3" width="10.140625" style="724" bestFit="1" customWidth="1"/>
    <col min="4" max="4" width="17" style="724" customWidth="1"/>
    <col min="5" max="6" width="8.7109375" style="724"/>
    <col min="7" max="7" width="29.42578125" style="724" bestFit="1" customWidth="1"/>
    <col min="8" max="8" width="6.7109375" style="724" bestFit="1" customWidth="1"/>
    <col min="9" max="9" width="19.28515625" style="724" customWidth="1"/>
    <col min="10" max="11" width="8.7109375" style="724"/>
    <col min="12" max="12" width="24" style="724" customWidth="1"/>
    <col min="13" max="16384" width="8.7109375" style="724"/>
  </cols>
  <sheetData>
    <row r="1" spans="1:22" ht="21" x14ac:dyDescent="0.35">
      <c r="A1" s="722"/>
      <c r="B1" s="722"/>
      <c r="C1" s="722"/>
      <c r="D1" s="722"/>
      <c r="E1" s="723"/>
      <c r="F1" s="722"/>
      <c r="G1" s="722"/>
      <c r="H1" s="722"/>
      <c r="I1" s="722"/>
      <c r="J1" s="722"/>
      <c r="K1" s="722"/>
      <c r="L1" s="722"/>
      <c r="M1" s="722"/>
      <c r="N1" s="722"/>
      <c r="O1" s="722"/>
      <c r="P1" s="722"/>
      <c r="Q1" s="722"/>
      <c r="R1" s="722"/>
      <c r="S1" s="722"/>
      <c r="T1" s="722"/>
      <c r="U1" s="722"/>
      <c r="V1" s="722"/>
    </row>
    <row r="2" spans="1:22" ht="21" x14ac:dyDescent="0.35">
      <c r="A2" s="722"/>
      <c r="B2" s="723" t="s">
        <v>1653</v>
      </c>
      <c r="C2" s="722"/>
      <c r="D2" s="723"/>
      <c r="E2" s="723"/>
      <c r="F2" s="722"/>
      <c r="G2" s="722"/>
      <c r="H2" s="722"/>
      <c r="I2" s="722"/>
      <c r="J2" s="722"/>
      <c r="K2" s="722"/>
      <c r="L2" s="722"/>
      <c r="M2" s="722"/>
      <c r="N2" s="722"/>
      <c r="O2" s="722"/>
      <c r="P2" s="722"/>
      <c r="Q2" s="722"/>
      <c r="R2" s="722"/>
      <c r="S2" s="722"/>
      <c r="T2" s="722"/>
      <c r="U2" s="722"/>
      <c r="V2" s="722"/>
    </row>
    <row r="3" spans="1:22" ht="21" x14ac:dyDescent="0.35">
      <c r="B3" s="725"/>
      <c r="D3" s="726"/>
      <c r="F3" s="726"/>
      <c r="G3" s="725"/>
      <c r="I3" s="725"/>
      <c r="J3" s="725"/>
      <c r="K3" s="725"/>
      <c r="L3" s="725"/>
      <c r="M3" s="725"/>
    </row>
    <row r="4" spans="1:22" ht="21" x14ac:dyDescent="0.35">
      <c r="D4" s="727" t="s">
        <v>1652</v>
      </c>
      <c r="F4" s="726"/>
      <c r="I4" s="727" t="s">
        <v>1651</v>
      </c>
      <c r="J4" s="727"/>
      <c r="L4" s="727" t="s">
        <v>1650</v>
      </c>
    </row>
    <row r="5" spans="1:22" x14ac:dyDescent="0.25">
      <c r="B5" s="727" t="s">
        <v>1649</v>
      </c>
      <c r="D5" s="721"/>
      <c r="G5" s="727" t="s">
        <v>1649</v>
      </c>
      <c r="I5" s="721"/>
      <c r="J5" s="727"/>
      <c r="L5" s="727"/>
      <c r="M5" s="727"/>
      <c r="N5" s="980"/>
      <c r="O5" s="981"/>
      <c r="P5" s="981"/>
      <c r="Q5" s="981"/>
      <c r="R5" s="981"/>
      <c r="S5" s="981"/>
      <c r="T5" s="981"/>
      <c r="U5" s="981"/>
      <c r="V5" s="982"/>
    </row>
    <row r="6" spans="1:22" x14ac:dyDescent="0.25">
      <c r="J6" s="727"/>
      <c r="N6" s="983"/>
      <c r="O6" s="984"/>
      <c r="P6" s="984"/>
      <c r="Q6" s="984"/>
      <c r="R6" s="984"/>
      <c r="S6" s="984"/>
      <c r="T6" s="984"/>
      <c r="U6" s="984"/>
      <c r="V6" s="985"/>
    </row>
    <row r="7" spans="1:22" x14ac:dyDescent="0.25">
      <c r="B7" s="724" t="s">
        <v>1648</v>
      </c>
      <c r="D7" s="714"/>
      <c r="G7" s="724" t="s">
        <v>1648</v>
      </c>
      <c r="I7" s="714"/>
      <c r="J7" s="727"/>
      <c r="L7" s="728" t="e">
        <f>AVERAGE(D7,I7)</f>
        <v>#DIV/0!</v>
      </c>
      <c r="N7" s="983"/>
      <c r="O7" s="984"/>
      <c r="P7" s="984"/>
      <c r="Q7" s="984"/>
      <c r="R7" s="984"/>
      <c r="S7" s="984"/>
      <c r="T7" s="984"/>
      <c r="U7" s="984"/>
      <c r="V7" s="985"/>
    </row>
    <row r="8" spans="1:22" x14ac:dyDescent="0.25">
      <c r="B8" s="724" t="s">
        <v>1647</v>
      </c>
      <c r="D8" s="714"/>
      <c r="G8" s="724" t="s">
        <v>1647</v>
      </c>
      <c r="I8" s="714"/>
      <c r="J8" s="727"/>
      <c r="L8" s="728" t="e">
        <f>AVERAGE(D8,I8)</f>
        <v>#DIV/0!</v>
      </c>
      <c r="N8" s="983"/>
      <c r="O8" s="984"/>
      <c r="P8" s="984"/>
      <c r="Q8" s="984"/>
      <c r="R8" s="984"/>
      <c r="S8" s="984"/>
      <c r="T8" s="984"/>
      <c r="U8" s="984"/>
      <c r="V8" s="985"/>
    </row>
    <row r="9" spans="1:22" x14ac:dyDescent="0.25">
      <c r="J9" s="727"/>
      <c r="L9" s="728"/>
      <c r="N9" s="983"/>
      <c r="O9" s="984"/>
      <c r="P9" s="984"/>
      <c r="Q9" s="984"/>
      <c r="R9" s="984"/>
      <c r="S9" s="984"/>
      <c r="T9" s="984"/>
      <c r="U9" s="984"/>
      <c r="V9" s="985"/>
    </row>
    <row r="10" spans="1:22" x14ac:dyDescent="0.25">
      <c r="B10" s="724" t="s">
        <v>1646</v>
      </c>
      <c r="D10" s="714"/>
      <c r="G10" s="724" t="s">
        <v>1645</v>
      </c>
      <c r="I10" s="714"/>
      <c r="J10" s="727"/>
      <c r="L10" s="728" t="e">
        <f>AVERAGE(D10,I10)</f>
        <v>#DIV/0!</v>
      </c>
      <c r="N10" s="983"/>
      <c r="O10" s="984"/>
      <c r="P10" s="984"/>
      <c r="Q10" s="984"/>
      <c r="R10" s="984"/>
      <c r="S10" s="984"/>
      <c r="T10" s="984"/>
      <c r="U10" s="984"/>
      <c r="V10" s="985"/>
    </row>
    <row r="11" spans="1:22" x14ac:dyDescent="0.25">
      <c r="B11" s="724" t="s">
        <v>1644</v>
      </c>
      <c r="D11" s="714"/>
      <c r="G11" s="724" t="s">
        <v>1644</v>
      </c>
      <c r="I11" s="714"/>
      <c r="J11" s="727"/>
      <c r="L11" s="728"/>
      <c r="N11" s="986"/>
      <c r="O11" s="987"/>
      <c r="P11" s="987"/>
      <c r="Q11" s="987"/>
      <c r="R11" s="987"/>
      <c r="S11" s="987"/>
      <c r="T11" s="987"/>
      <c r="U11" s="987"/>
      <c r="V11" s="988"/>
    </row>
    <row r="12" spans="1:22" ht="15.75" thickBot="1" x14ac:dyDescent="0.3">
      <c r="J12" s="727"/>
    </row>
    <row r="13" spans="1:22" ht="16.5" thickTop="1" thickBot="1" x14ac:dyDescent="0.3">
      <c r="B13" s="720" t="s">
        <v>1643</v>
      </c>
      <c r="C13" s="720"/>
      <c r="D13" s="717">
        <f>D7+D8-D10-D11</f>
        <v>0</v>
      </c>
      <c r="G13" s="720" t="s">
        <v>1643</v>
      </c>
      <c r="H13" s="720"/>
      <c r="I13" s="717">
        <f>I7+I8-I10</f>
        <v>0</v>
      </c>
      <c r="J13" s="727"/>
      <c r="L13" s="729">
        <f>AVERAGE(D13,I13)</f>
        <v>0</v>
      </c>
    </row>
    <row r="14" spans="1:22" ht="15.75" thickTop="1" x14ac:dyDescent="0.25">
      <c r="B14" s="730" t="s">
        <v>1642</v>
      </c>
      <c r="D14" s="714"/>
      <c r="G14" s="730" t="s">
        <v>1642</v>
      </c>
      <c r="I14" s="714">
        <f>I8</f>
        <v>0</v>
      </c>
      <c r="J14" s="727"/>
    </row>
    <row r="15" spans="1:22" ht="15.75" thickBot="1" x14ac:dyDescent="0.3">
      <c r="J15" s="727"/>
    </row>
    <row r="16" spans="1:22" ht="16.5" thickTop="1" thickBot="1" x14ac:dyDescent="0.3">
      <c r="B16" s="720" t="s">
        <v>1641</v>
      </c>
      <c r="C16" s="720"/>
      <c r="D16" s="717">
        <f>D13-D14</f>
        <v>0</v>
      </c>
      <c r="G16" s="720" t="s">
        <v>1641</v>
      </c>
      <c r="H16" s="720"/>
      <c r="I16" s="717">
        <f>I13-I14</f>
        <v>0</v>
      </c>
      <c r="J16" s="727"/>
      <c r="L16" s="731">
        <f>AVERAGE(D16,I16)</f>
        <v>0</v>
      </c>
      <c r="M16" s="732"/>
    </row>
    <row r="17" spans="2:14" ht="15.75" thickTop="1" x14ac:dyDescent="0.25">
      <c r="J17" s="727"/>
    </row>
    <row r="18" spans="2:14" x14ac:dyDescent="0.25">
      <c r="B18" s="727" t="s">
        <v>1640</v>
      </c>
      <c r="G18" s="727" t="s">
        <v>1640</v>
      </c>
      <c r="J18" s="727"/>
    </row>
    <row r="19" spans="2:14" x14ac:dyDescent="0.25">
      <c r="B19" s="730" t="s">
        <v>1639</v>
      </c>
      <c r="D19" s="714"/>
      <c r="G19" s="730" t="s">
        <v>1639</v>
      </c>
      <c r="I19" s="714"/>
      <c r="J19" s="727"/>
    </row>
    <row r="20" spans="2:14" x14ac:dyDescent="0.25">
      <c r="B20" s="730" t="s">
        <v>1638</v>
      </c>
      <c r="D20" s="714"/>
      <c r="G20" s="730" t="s">
        <v>1638</v>
      </c>
      <c r="I20" s="714"/>
      <c r="J20" s="727"/>
    </row>
    <row r="21" spans="2:14" ht="15.75" thickBot="1" x14ac:dyDescent="0.3">
      <c r="J21" s="727"/>
    </row>
    <row r="22" spans="2:14" ht="16.5" thickTop="1" thickBot="1" x14ac:dyDescent="0.3">
      <c r="B22" s="720" t="s">
        <v>1637</v>
      </c>
      <c r="C22" s="720"/>
      <c r="D22" s="717">
        <f>+D19+D20</f>
        <v>0</v>
      </c>
      <c r="G22" s="720" t="s">
        <v>1637</v>
      </c>
      <c r="H22" s="720"/>
      <c r="I22" s="717">
        <f>+I19+I20</f>
        <v>0</v>
      </c>
      <c r="J22" s="727"/>
      <c r="L22" s="731">
        <f>AVERAGE(D22,I22)</f>
        <v>0</v>
      </c>
    </row>
    <row r="23" spans="2:14" ht="16.5" thickTop="1" thickBot="1" x14ac:dyDescent="0.3">
      <c r="J23" s="727"/>
    </row>
    <row r="24" spans="2:14" ht="24.75" thickTop="1" thickBot="1" x14ac:dyDescent="0.4">
      <c r="B24" s="720" t="s">
        <v>1636</v>
      </c>
      <c r="C24" s="720"/>
      <c r="D24" s="717">
        <f>D22+D16</f>
        <v>0</v>
      </c>
      <c r="G24" s="720" t="s">
        <v>1636</v>
      </c>
      <c r="H24" s="720"/>
      <c r="I24" s="717">
        <f>I22+I16</f>
        <v>0</v>
      </c>
      <c r="J24" s="727"/>
      <c r="L24" s="719">
        <f>AVERAGE(D24,I24)</f>
        <v>0</v>
      </c>
    </row>
    <row r="25" spans="2:14" ht="15.75" thickTop="1" x14ac:dyDescent="0.25">
      <c r="J25" s="727"/>
    </row>
    <row r="26" spans="2:14" x14ac:dyDescent="0.25">
      <c r="B26" s="989" t="s">
        <v>1635</v>
      </c>
      <c r="C26" s="990"/>
      <c r="D26" s="991"/>
      <c r="G26" s="989" t="s">
        <v>1635</v>
      </c>
      <c r="H26" s="990"/>
      <c r="I26" s="991"/>
    </row>
    <row r="27" spans="2:14" ht="15.75" thickBot="1" x14ac:dyDescent="0.3">
      <c r="B27" s="733"/>
      <c r="C27" s="733" t="s">
        <v>1634</v>
      </c>
      <c r="D27" s="733" t="s">
        <v>1633</v>
      </c>
      <c r="G27" s="733"/>
      <c r="H27" s="733" t="s">
        <v>1634</v>
      </c>
      <c r="I27" s="733" t="s">
        <v>1633</v>
      </c>
      <c r="K27" s="734"/>
    </row>
    <row r="28" spans="2:14" ht="16.5" thickTop="1" thickBot="1" x14ac:dyDescent="0.3">
      <c r="B28" s="735" t="s">
        <v>1</v>
      </c>
      <c r="C28" s="718"/>
      <c r="D28" s="717">
        <f>C28*D24</f>
        <v>0</v>
      </c>
      <c r="G28" s="735" t="s">
        <v>1</v>
      </c>
      <c r="H28" s="718"/>
      <c r="I28" s="717">
        <f>I24*H28</f>
        <v>0</v>
      </c>
    </row>
    <row r="29" spans="2:14" ht="16.5" thickTop="1" thickBot="1" x14ac:dyDescent="0.3">
      <c r="B29" s="735" t="s">
        <v>3</v>
      </c>
      <c r="C29" s="718"/>
      <c r="D29" s="717">
        <f>C29*D24</f>
        <v>0</v>
      </c>
      <c r="G29" s="735" t="s">
        <v>3</v>
      </c>
      <c r="H29" s="718"/>
      <c r="I29" s="717">
        <f>H29*H24</f>
        <v>0</v>
      </c>
    </row>
    <row r="30" spans="2:14" ht="16.5" thickTop="1" thickBot="1" x14ac:dyDescent="0.3"/>
    <row r="31" spans="2:14" ht="16.5" thickTop="1" thickBot="1" x14ac:dyDescent="0.3">
      <c r="B31" s="992" t="s">
        <v>1632</v>
      </c>
      <c r="C31" s="992"/>
      <c r="D31" s="992"/>
      <c r="G31" s="993" t="s">
        <v>1632</v>
      </c>
      <c r="H31" s="993"/>
      <c r="I31" s="993"/>
    </row>
    <row r="32" spans="2:14" ht="15.75" thickTop="1" x14ac:dyDescent="0.25">
      <c r="B32" s="715">
        <f>D5</f>
        <v>0</v>
      </c>
      <c r="C32" s="715" t="s">
        <v>1630</v>
      </c>
      <c r="D32" s="715" t="s">
        <v>1631</v>
      </c>
      <c r="E32" s="715" t="s">
        <v>1628</v>
      </c>
      <c r="G32" s="716">
        <f>I5</f>
        <v>0</v>
      </c>
      <c r="H32" s="716" t="s">
        <v>1630</v>
      </c>
      <c r="I32" s="716" t="s">
        <v>1629</v>
      </c>
      <c r="J32" s="715" t="s">
        <v>1628</v>
      </c>
      <c r="N32" s="736"/>
    </row>
    <row r="33" spans="2:10" x14ac:dyDescent="0.25">
      <c r="B33" s="735" t="s">
        <v>1</v>
      </c>
      <c r="C33" s="737"/>
      <c r="D33" s="737"/>
      <c r="E33" s="714">
        <f>C33-D33</f>
        <v>0</v>
      </c>
      <c r="G33" s="735" t="s">
        <v>1</v>
      </c>
      <c r="H33" s="737"/>
      <c r="I33" s="737"/>
      <c r="J33" s="714">
        <f>I33-H33</f>
        <v>0</v>
      </c>
    </row>
    <row r="34" spans="2:10" x14ac:dyDescent="0.25">
      <c r="B34" s="735" t="s">
        <v>3</v>
      </c>
      <c r="C34" s="737"/>
      <c r="D34" s="737"/>
      <c r="E34" s="714">
        <f>C34-D34</f>
        <v>0</v>
      </c>
      <c r="G34" s="735" t="s">
        <v>3</v>
      </c>
      <c r="H34" s="737"/>
      <c r="I34" s="737"/>
      <c r="J34" s="714">
        <f>I34-H34</f>
        <v>0</v>
      </c>
    </row>
  </sheetData>
  <mergeCells count="5">
    <mergeCell ref="N5:V11"/>
    <mergeCell ref="B26:D26"/>
    <mergeCell ref="G26:I26"/>
    <mergeCell ref="B31:D31"/>
    <mergeCell ref="G31:I3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481C-E339-4E95-AFD0-7135E3BF16DD}">
  <dimension ref="A1:Q38"/>
  <sheetViews>
    <sheetView topLeftCell="A2" zoomScaleNormal="100" workbookViewId="0">
      <selection activeCell="A4" sqref="A4"/>
    </sheetView>
  </sheetViews>
  <sheetFormatPr defaultRowHeight="15" x14ac:dyDescent="0.25"/>
  <cols>
    <col min="1" max="1" width="43.28515625" style="761" bestFit="1" customWidth="1"/>
    <col min="2" max="2" width="21.28515625" style="761" customWidth="1"/>
    <col min="3" max="3" width="16.7109375" style="761" bestFit="1" customWidth="1"/>
    <col min="4" max="4" width="30.7109375" style="761" customWidth="1"/>
    <col min="5" max="5" width="22.5703125" style="761" customWidth="1"/>
    <col min="6" max="6" width="22.7109375" style="761" customWidth="1"/>
    <col min="7" max="7" width="16.7109375" style="761" customWidth="1"/>
    <col min="8" max="8" width="10" style="761" customWidth="1"/>
    <col min="9" max="9" width="15.7109375" style="761" customWidth="1"/>
    <col min="10" max="10" width="10.42578125" style="761" customWidth="1"/>
    <col min="11" max="11" width="9.140625" style="761"/>
    <col min="12" max="12" width="31.7109375" style="761" bestFit="1" customWidth="1"/>
    <col min="13" max="13" width="14.28515625" style="761" bestFit="1" customWidth="1"/>
    <col min="14" max="16" width="9.140625" style="761"/>
    <col min="17" max="18" width="9.140625" style="761" customWidth="1"/>
    <col min="19" max="16384" width="9.140625" style="761"/>
  </cols>
  <sheetData>
    <row r="1" spans="1:17" x14ac:dyDescent="0.25">
      <c r="A1" s="797" t="s">
        <v>1674</v>
      </c>
      <c r="B1" s="806" t="s">
        <v>1675</v>
      </c>
      <c r="C1" s="805"/>
      <c r="D1" s="807" t="s">
        <v>1676</v>
      </c>
      <c r="E1" s="1047" t="s">
        <v>1677</v>
      </c>
      <c r="F1" s="1048"/>
      <c r="G1" s="1048"/>
      <c r="H1" s="1048"/>
      <c r="I1" s="1048"/>
      <c r="J1" s="1049"/>
    </row>
    <row r="2" spans="1:17" x14ac:dyDescent="0.25">
      <c r="A2" s="804"/>
      <c r="B2" s="806" t="s">
        <v>1678</v>
      </c>
      <c r="C2" s="805"/>
      <c r="D2" s="1052"/>
      <c r="E2" s="1053"/>
      <c r="F2" s="1053"/>
      <c r="G2" s="1053"/>
      <c r="H2" s="1053"/>
      <c r="I2" s="1053"/>
      <c r="J2" s="1054"/>
      <c r="L2" s="795" t="s">
        <v>1679</v>
      </c>
      <c r="M2" s="802"/>
    </row>
    <row r="3" spans="1:17" x14ac:dyDescent="0.25">
      <c r="A3" s="797" t="s">
        <v>1680</v>
      </c>
      <c r="B3" s="1015" t="s">
        <v>1681</v>
      </c>
      <c r="C3" s="1016"/>
      <c r="D3" s="1055"/>
      <c r="E3" s="1056"/>
      <c r="F3" s="1056"/>
      <c r="G3" s="1056"/>
      <c r="H3" s="1056"/>
      <c r="I3" s="1056"/>
      <c r="J3" s="1057"/>
      <c r="L3" s="761" t="s">
        <v>1682</v>
      </c>
      <c r="M3" s="802"/>
    </row>
    <row r="4" spans="1:17" x14ac:dyDescent="0.25">
      <c r="A4" s="804"/>
      <c r="B4" s="1017"/>
      <c r="C4" s="1018"/>
      <c r="D4" s="1055"/>
      <c r="E4" s="1056"/>
      <c r="F4" s="1056"/>
      <c r="G4" s="1056"/>
      <c r="H4" s="1056"/>
      <c r="I4" s="1056"/>
      <c r="J4" s="1057"/>
      <c r="L4" s="761" t="s">
        <v>1683</v>
      </c>
      <c r="M4" s="802"/>
    </row>
    <row r="5" spans="1:17" ht="30" x14ac:dyDescent="0.25">
      <c r="A5" s="797" t="s">
        <v>1684</v>
      </c>
      <c r="B5" s="1017"/>
      <c r="C5" s="1018"/>
      <c r="D5" s="1055"/>
      <c r="E5" s="1056"/>
      <c r="F5" s="1056"/>
      <c r="G5" s="1056"/>
      <c r="H5" s="1056"/>
      <c r="I5" s="1056"/>
      <c r="J5" s="1057"/>
      <c r="L5" s="798" t="s">
        <v>1685</v>
      </c>
      <c r="M5" s="802"/>
    </row>
    <row r="6" spans="1:17" x14ac:dyDescent="0.25">
      <c r="A6" s="801">
        <f>M4</f>
        <v>0</v>
      </c>
      <c r="B6" s="1019"/>
      <c r="C6" s="1020"/>
      <c r="D6" s="1058"/>
      <c r="E6" s="1059"/>
      <c r="F6" s="1059"/>
      <c r="G6" s="1059"/>
      <c r="H6" s="1059"/>
      <c r="I6" s="1059"/>
      <c r="J6" s="1060"/>
      <c r="L6" s="761" t="s">
        <v>1686</v>
      </c>
      <c r="M6" s="802"/>
    </row>
    <row r="7" spans="1:17" x14ac:dyDescent="0.25">
      <c r="A7" s="803" t="s">
        <v>1687</v>
      </c>
      <c r="B7" s="796" t="s">
        <v>1688</v>
      </c>
      <c r="C7" s="1000" t="s">
        <v>1689</v>
      </c>
      <c r="D7" s="1000"/>
      <c r="E7" s="1050" t="s">
        <v>1690</v>
      </c>
      <c r="F7" s="1051"/>
      <c r="G7" s="1050" t="s">
        <v>1691</v>
      </c>
      <c r="H7" s="1051"/>
      <c r="I7" s="1050" t="s">
        <v>1692</v>
      </c>
      <c r="J7" s="1063"/>
      <c r="L7" s="761" t="s">
        <v>1693</v>
      </c>
      <c r="M7" s="802"/>
    </row>
    <row r="8" spans="1:17" x14ac:dyDescent="0.25">
      <c r="A8" s="801">
        <f>A6-E8</f>
        <v>0</v>
      </c>
      <c r="B8" s="800" cm="1">
        <f t="array" ref="B8">IFERROR(_xlfn.IFS(C1="No","$0",C2="QLD",G32,C2="NSW",G33,C2="VIC",G34),0)</f>
        <v>0</v>
      </c>
      <c r="C8" s="1028"/>
      <c r="D8" s="1029"/>
      <c r="E8" s="1061">
        <f>M9</f>
        <v>0</v>
      </c>
      <c r="F8" s="1062"/>
      <c r="G8" s="1061">
        <f>M6</f>
        <v>0</v>
      </c>
      <c r="H8" s="1062"/>
      <c r="I8" s="1061">
        <f>M6+M7+M8</f>
        <v>0</v>
      </c>
      <c r="J8" s="1064"/>
      <c r="L8" s="761" t="s">
        <v>1688</v>
      </c>
      <c r="M8" s="799">
        <f>B8</f>
        <v>0</v>
      </c>
      <c r="Q8" s="798"/>
    </row>
    <row r="9" spans="1:17" x14ac:dyDescent="0.25">
      <c r="A9" s="797" t="s">
        <v>1694</v>
      </c>
      <c r="B9" s="1000" t="s">
        <v>1695</v>
      </c>
      <c r="C9" s="1000"/>
      <c r="D9" s="796" t="s">
        <v>1696</v>
      </c>
      <c r="E9" s="1000" t="s">
        <v>1697</v>
      </c>
      <c r="F9" s="1000"/>
      <c r="G9" s="1000" t="s">
        <v>1698</v>
      </c>
      <c r="H9" s="1000"/>
      <c r="I9" s="1000" t="s">
        <v>1699</v>
      </c>
      <c r="J9" s="1001"/>
      <c r="L9" s="795" t="s">
        <v>1690</v>
      </c>
      <c r="M9" s="794">
        <f>M2-M3-M5-M6</f>
        <v>0</v>
      </c>
    </row>
    <row r="10" spans="1:17" x14ac:dyDescent="0.25">
      <c r="A10" s="759"/>
      <c r="B10" s="1012"/>
      <c r="C10" s="1012"/>
      <c r="D10" s="791">
        <f t="shared" ref="D10:D17" si="0">$A$6*B10</f>
        <v>0</v>
      </c>
      <c r="E10" s="995">
        <f>IF(D10&lt;=A8,D10,0)-G8</f>
        <v>0</v>
      </c>
      <c r="F10" s="999"/>
      <c r="G10" s="995">
        <f>A8-E10-G8</f>
        <v>0</v>
      </c>
      <c r="H10" s="999"/>
      <c r="I10" s="995">
        <f>D10-E10-G8</f>
        <v>0</v>
      </c>
      <c r="J10" s="996"/>
      <c r="L10" s="793" t="s">
        <v>1700</v>
      </c>
      <c r="M10" s="792">
        <f>I8-A8</f>
        <v>0</v>
      </c>
    </row>
    <row r="11" spans="1:17" x14ac:dyDescent="0.25">
      <c r="A11" s="759"/>
      <c r="B11" s="1012"/>
      <c r="C11" s="1012"/>
      <c r="D11" s="791">
        <f t="shared" si="0"/>
        <v>0</v>
      </c>
      <c r="E11" s="995">
        <f t="shared" ref="E11:E16" si="1">IF(D11&lt;G10,D11,G10)</f>
        <v>0</v>
      </c>
      <c r="F11" s="999"/>
      <c r="G11" s="995">
        <f t="shared" ref="G11:G16" si="2">G10-E11</f>
        <v>0</v>
      </c>
      <c r="H11" s="999"/>
      <c r="I11" s="995">
        <f t="shared" ref="I11:I17" si="3">D11-E11</f>
        <v>0</v>
      </c>
      <c r="J11" s="996"/>
    </row>
    <row r="12" spans="1:17" ht="15" customHeight="1" x14ac:dyDescent="0.25">
      <c r="A12" s="759"/>
      <c r="B12" s="1012"/>
      <c r="C12" s="1012"/>
      <c r="D12" s="791">
        <f t="shared" si="0"/>
        <v>0</v>
      </c>
      <c r="E12" s="995">
        <f t="shared" si="1"/>
        <v>0</v>
      </c>
      <c r="F12" s="999"/>
      <c r="G12" s="995">
        <f t="shared" si="2"/>
        <v>0</v>
      </c>
      <c r="H12" s="999"/>
      <c r="I12" s="995">
        <f t="shared" si="3"/>
        <v>0</v>
      </c>
      <c r="J12" s="996"/>
      <c r="L12" s="994" t="s">
        <v>1701</v>
      </c>
      <c r="M12" s="994"/>
    </row>
    <row r="13" spans="1:17" x14ac:dyDescent="0.25">
      <c r="A13" s="759"/>
      <c r="B13" s="1012"/>
      <c r="C13" s="1012"/>
      <c r="D13" s="791">
        <f t="shared" si="0"/>
        <v>0</v>
      </c>
      <c r="E13" s="995">
        <f t="shared" si="1"/>
        <v>0</v>
      </c>
      <c r="F13" s="999"/>
      <c r="G13" s="995">
        <f t="shared" si="2"/>
        <v>0</v>
      </c>
      <c r="H13" s="999"/>
      <c r="I13" s="995">
        <f t="shared" si="3"/>
        <v>0</v>
      </c>
      <c r="J13" s="996"/>
    </row>
    <row r="14" spans="1:17" x14ac:dyDescent="0.25">
      <c r="A14" s="759"/>
      <c r="B14" s="1012"/>
      <c r="C14" s="1012"/>
      <c r="D14" s="791">
        <f t="shared" si="0"/>
        <v>0</v>
      </c>
      <c r="E14" s="995">
        <f t="shared" si="1"/>
        <v>0</v>
      </c>
      <c r="F14" s="999"/>
      <c r="G14" s="995">
        <f t="shared" si="2"/>
        <v>0</v>
      </c>
      <c r="H14" s="999"/>
      <c r="I14" s="995">
        <f t="shared" si="3"/>
        <v>0</v>
      </c>
      <c r="J14" s="996"/>
    </row>
    <row r="15" spans="1:17" x14ac:dyDescent="0.25">
      <c r="A15" s="759"/>
      <c r="B15" s="1026"/>
      <c r="C15" s="1027"/>
      <c r="D15" s="791">
        <f t="shared" si="0"/>
        <v>0</v>
      </c>
      <c r="E15" s="995">
        <f t="shared" si="1"/>
        <v>0</v>
      </c>
      <c r="F15" s="999"/>
      <c r="G15" s="995">
        <f t="shared" si="2"/>
        <v>0</v>
      </c>
      <c r="H15" s="999"/>
      <c r="I15" s="995">
        <f t="shared" si="3"/>
        <v>0</v>
      </c>
      <c r="J15" s="996"/>
    </row>
    <row r="16" spans="1:17" x14ac:dyDescent="0.25">
      <c r="A16" s="760"/>
      <c r="B16" s="1026"/>
      <c r="C16" s="1027"/>
      <c r="D16" s="791">
        <f t="shared" si="0"/>
        <v>0</v>
      </c>
      <c r="E16" s="995">
        <f t="shared" si="1"/>
        <v>0</v>
      </c>
      <c r="F16" s="999"/>
      <c r="G16" s="995">
        <f t="shared" si="2"/>
        <v>0</v>
      </c>
      <c r="H16" s="999"/>
      <c r="I16" s="995">
        <f t="shared" si="3"/>
        <v>0</v>
      </c>
      <c r="J16" s="996"/>
    </row>
    <row r="17" spans="1:13" x14ac:dyDescent="0.25">
      <c r="A17" s="760"/>
      <c r="B17" s="1012"/>
      <c r="C17" s="1012"/>
      <c r="D17" s="791">
        <f t="shared" si="0"/>
        <v>0</v>
      </c>
      <c r="E17" s="995">
        <f>IF(D17&lt;G14,D17,G14)</f>
        <v>0</v>
      </c>
      <c r="F17" s="999"/>
      <c r="G17" s="995">
        <f>G14-E17</f>
        <v>0</v>
      </c>
      <c r="H17" s="999"/>
      <c r="I17" s="995">
        <f t="shared" si="3"/>
        <v>0</v>
      </c>
      <c r="J17" s="996"/>
    </row>
    <row r="18" spans="1:13" ht="15.75" thickBot="1" x14ac:dyDescent="0.3">
      <c r="A18" s="790" t="s">
        <v>18</v>
      </c>
      <c r="B18" s="1022">
        <f>SUM(B10:B17)</f>
        <v>0</v>
      </c>
      <c r="C18" s="1023"/>
      <c r="D18" s="789">
        <f>SUM(D10:D17)</f>
        <v>0</v>
      </c>
      <c r="E18" s="997">
        <f>SUM(E10:E17)</f>
        <v>0</v>
      </c>
      <c r="F18" s="998"/>
      <c r="G18" s="997"/>
      <c r="H18" s="998"/>
      <c r="I18" s="1024">
        <f>SUM(I10:I17)</f>
        <v>0</v>
      </c>
      <c r="J18" s="1025"/>
    </row>
    <row r="19" spans="1:13" ht="15.75" thickBot="1" x14ac:dyDescent="0.3">
      <c r="F19" s="1021" t="s">
        <v>1702</v>
      </c>
      <c r="G19" s="1021"/>
      <c r="H19" s="1021"/>
      <c r="I19" s="1021"/>
      <c r="K19" s="762"/>
      <c r="L19" s="788" t="s">
        <v>1703</v>
      </c>
      <c r="M19" s="762"/>
    </row>
    <row r="20" spans="1:13" ht="30" x14ac:dyDescent="0.25">
      <c r="A20" s="1033" t="s">
        <v>1704</v>
      </c>
      <c r="B20" s="1034"/>
      <c r="C20" s="1034"/>
      <c r="D20" s="1035"/>
      <c r="E20" s="787" t="s">
        <v>1705</v>
      </c>
      <c r="F20" s="786" t="s">
        <v>1706</v>
      </c>
      <c r="G20" s="785" t="s">
        <v>44</v>
      </c>
      <c r="H20" s="1036" t="s">
        <v>1707</v>
      </c>
      <c r="I20" s="1037"/>
      <c r="K20" s="765">
        <v>1</v>
      </c>
      <c r="L20" s="780" t="s">
        <v>1708</v>
      </c>
      <c r="M20" s="779" t="b">
        <v>0</v>
      </c>
    </row>
    <row r="21" spans="1:13" ht="30" x14ac:dyDescent="0.25">
      <c r="A21" s="1005" t="s">
        <v>1709</v>
      </c>
      <c r="B21" s="1006"/>
      <c r="C21" s="1006"/>
      <c r="D21" s="1007"/>
      <c r="E21" s="771" t="b">
        <f>ISTEXT(A2)</f>
        <v>0</v>
      </c>
      <c r="F21" s="784" t="s">
        <v>1710</v>
      </c>
      <c r="G21" s="783">
        <f>COUNTIF(I10:J17,"&gt;0")</f>
        <v>0</v>
      </c>
      <c r="H21" s="1038">
        <f>G21*50</f>
        <v>0</v>
      </c>
      <c r="I21" s="1039"/>
      <c r="K21" s="765">
        <v>2</v>
      </c>
      <c r="L21" s="780" t="s">
        <v>1711</v>
      </c>
      <c r="M21" s="779" t="b">
        <v>0</v>
      </c>
    </row>
    <row r="22" spans="1:13" ht="45.75" thickBot="1" x14ac:dyDescent="0.3">
      <c r="A22" s="1005" t="s">
        <v>1712</v>
      </c>
      <c r="B22" s="1006"/>
      <c r="C22" s="1006"/>
      <c r="D22" s="1007"/>
      <c r="E22" s="771" t="b">
        <f>ISTEXT(A4)</f>
        <v>0</v>
      </c>
      <c r="F22" s="782" t="s">
        <v>1713</v>
      </c>
      <c r="G22" s="781" t="e" cm="1">
        <f t="array" ref="G22">_xlfn.IFS(H20="Metro",H29,H20="Regional",I29)</f>
        <v>#N/A</v>
      </c>
      <c r="H22" s="1040" t="e">
        <f>2*G22</f>
        <v>#N/A</v>
      </c>
      <c r="I22" s="1041"/>
      <c r="K22" s="765">
        <v>3</v>
      </c>
      <c r="L22" s="780" t="s">
        <v>1714</v>
      </c>
      <c r="M22" s="779" t="b">
        <v>0</v>
      </c>
    </row>
    <row r="23" spans="1:13" x14ac:dyDescent="0.25">
      <c r="A23" s="768" t="s">
        <v>1715</v>
      </c>
      <c r="B23" s="768"/>
      <c r="C23" s="768"/>
      <c r="D23" s="767"/>
      <c r="E23" s="771" t="b">
        <f>ISTEXT(C1)</f>
        <v>0</v>
      </c>
      <c r="F23" s="1008" t="s">
        <v>1716</v>
      </c>
      <c r="G23" s="1009"/>
      <c r="H23" s="1009"/>
      <c r="I23" s="1009"/>
    </row>
    <row r="24" spans="1:13" x14ac:dyDescent="0.25">
      <c r="A24" s="1003" t="s">
        <v>1717</v>
      </c>
      <c r="B24" s="1003"/>
      <c r="C24" s="1003"/>
      <c r="D24" s="1004"/>
      <c r="E24" s="771" t="b">
        <f>ISTEXT(C2)</f>
        <v>0</v>
      </c>
      <c r="F24" s="1010"/>
      <c r="G24" s="1011"/>
      <c r="H24" s="1011"/>
      <c r="I24" s="1011"/>
    </row>
    <row r="25" spans="1:13" x14ac:dyDescent="0.25">
      <c r="A25" s="1002" t="s">
        <v>1718</v>
      </c>
      <c r="B25" s="1003"/>
      <c r="C25" s="1003"/>
      <c r="D25" s="1004"/>
      <c r="E25" s="771" t="b">
        <f>ISTEXT(C8)</f>
        <v>0</v>
      </c>
      <c r="F25" s="778"/>
      <c r="G25" s="762"/>
      <c r="H25" s="762"/>
      <c r="I25" s="762"/>
    </row>
    <row r="26" spans="1:13" x14ac:dyDescent="0.25">
      <c r="A26" s="1005" t="s">
        <v>1719</v>
      </c>
      <c r="B26" s="1006"/>
      <c r="C26" s="1006"/>
      <c r="D26" s="1007"/>
      <c r="E26" s="771" t="b">
        <f t="shared" ref="E26:E31" si="4">ISNUMBER(M2)</f>
        <v>0</v>
      </c>
      <c r="F26" s="778"/>
      <c r="G26" s="762"/>
      <c r="H26" s="762"/>
      <c r="I26" s="762"/>
    </row>
    <row r="27" spans="1:13" ht="15.75" thickBot="1" x14ac:dyDescent="0.3">
      <c r="A27" s="1002" t="s">
        <v>1720</v>
      </c>
      <c r="B27" s="1003"/>
      <c r="C27" s="1003"/>
      <c r="D27" s="1004"/>
      <c r="E27" s="771" t="b">
        <f t="shared" si="4"/>
        <v>0</v>
      </c>
      <c r="F27" s="762"/>
      <c r="G27" s="762"/>
      <c r="H27" s="762"/>
      <c r="I27" s="762"/>
    </row>
    <row r="28" spans="1:13" x14ac:dyDescent="0.25">
      <c r="A28" s="1005" t="s">
        <v>1721</v>
      </c>
      <c r="B28" s="1006"/>
      <c r="C28" s="1006"/>
      <c r="D28" s="1007"/>
      <c r="E28" s="771" t="b">
        <f t="shared" si="4"/>
        <v>0</v>
      </c>
      <c r="F28" s="777" t="s">
        <v>1722</v>
      </c>
      <c r="G28" s="1013" t="s">
        <v>1723</v>
      </c>
      <c r="H28" s="776" t="s">
        <v>1724</v>
      </c>
      <c r="I28" s="775" t="s">
        <v>1725</v>
      </c>
    </row>
    <row r="29" spans="1:13" ht="30.75" customHeight="1" thickBot="1" x14ac:dyDescent="0.3">
      <c r="A29" s="1042" t="s">
        <v>1726</v>
      </c>
      <c r="B29" s="1043"/>
      <c r="C29" s="1043"/>
      <c r="D29" s="1044"/>
      <c r="E29" s="771" t="b">
        <f t="shared" si="4"/>
        <v>0</v>
      </c>
      <c r="F29" s="774" t="s">
        <v>1727</v>
      </c>
      <c r="G29" s="1014"/>
      <c r="H29" s="773">
        <v>143</v>
      </c>
      <c r="I29" s="772">
        <v>165</v>
      </c>
    </row>
    <row r="30" spans="1:13" x14ac:dyDescent="0.25">
      <c r="A30" s="1002" t="s">
        <v>1728</v>
      </c>
      <c r="B30" s="1003"/>
      <c r="C30" s="1003"/>
      <c r="D30" s="1004"/>
      <c r="E30" s="771" t="b">
        <f t="shared" si="4"/>
        <v>0</v>
      </c>
      <c r="F30" s="762"/>
      <c r="G30" s="762"/>
      <c r="H30" s="762"/>
      <c r="I30" s="762"/>
    </row>
    <row r="31" spans="1:13" x14ac:dyDescent="0.25">
      <c r="A31" s="1002" t="s">
        <v>1729</v>
      </c>
      <c r="B31" s="1003"/>
      <c r="C31" s="1003"/>
      <c r="D31" s="1004"/>
      <c r="E31" s="771" t="b">
        <f t="shared" si="4"/>
        <v>0</v>
      </c>
      <c r="F31" s="1045" t="s">
        <v>1730</v>
      </c>
      <c r="G31" s="1046"/>
      <c r="H31" s="762"/>
      <c r="I31" s="762"/>
    </row>
    <row r="32" spans="1:13" x14ac:dyDescent="0.25">
      <c r="A32" s="1005" t="s">
        <v>1731</v>
      </c>
      <c r="B32" s="1006"/>
      <c r="C32" s="1006"/>
      <c r="D32" s="1007"/>
      <c r="E32" s="770" t="b">
        <f>ISTEXT(A10)</f>
        <v>0</v>
      </c>
      <c r="F32" s="769" t="s">
        <v>431</v>
      </c>
      <c r="G32" s="764">
        <v>30000</v>
      </c>
      <c r="H32" s="762"/>
      <c r="I32" s="762"/>
    </row>
    <row r="33" spans="1:9" x14ac:dyDescent="0.25">
      <c r="A33" s="1005" t="s">
        <v>1732</v>
      </c>
      <c r="B33" s="1006"/>
      <c r="C33" s="1006"/>
      <c r="D33" s="1007"/>
      <c r="E33" s="770" t="b">
        <f>ISNUMBER(B10)</f>
        <v>0</v>
      </c>
      <c r="F33" s="769" t="s">
        <v>432</v>
      </c>
      <c r="G33" s="764">
        <v>10000</v>
      </c>
      <c r="H33" s="762"/>
      <c r="I33" s="762"/>
    </row>
    <row r="34" spans="1:9" x14ac:dyDescent="0.25">
      <c r="A34" s="1002" t="s">
        <v>1733</v>
      </c>
      <c r="B34" s="1003"/>
      <c r="C34" s="1003"/>
      <c r="D34" s="1004"/>
      <c r="E34" s="766" t="b">
        <f>IF(D18=0,FALSE,IF(D18=A6,TRUE,FALSE))</f>
        <v>0</v>
      </c>
      <c r="F34" s="769" t="s">
        <v>436</v>
      </c>
      <c r="G34" s="764">
        <v>10000</v>
      </c>
      <c r="H34" s="762"/>
      <c r="I34" s="762"/>
    </row>
    <row r="35" spans="1:9" x14ac:dyDescent="0.25">
      <c r="A35" s="1005" t="s">
        <v>1734</v>
      </c>
      <c r="B35" s="1006"/>
      <c r="C35" s="1006"/>
      <c r="D35" s="1007"/>
      <c r="E35" s="766" t="b">
        <f>IF(I18=0,FALSE,IF(I18=E8,TRUE,FALSE))</f>
        <v>0</v>
      </c>
      <c r="F35" s="765"/>
      <c r="G35" s="764"/>
      <c r="H35" s="762"/>
      <c r="I35" s="762"/>
    </row>
    <row r="36" spans="1:9" x14ac:dyDescent="0.25">
      <c r="A36" s="1002" t="s">
        <v>1735</v>
      </c>
      <c r="B36" s="1003"/>
      <c r="C36" s="1003"/>
      <c r="D36" s="1004"/>
      <c r="E36" s="766" t="b">
        <f>AND(M20:M22)</f>
        <v>0</v>
      </c>
      <c r="F36" s="765"/>
      <c r="G36" s="764"/>
      <c r="H36" s="762"/>
      <c r="I36" s="762"/>
    </row>
    <row r="37" spans="1:9" ht="15.75" thickBot="1" x14ac:dyDescent="0.3">
      <c r="A37" s="1030" t="s">
        <v>1736</v>
      </c>
      <c r="B37" s="1031"/>
      <c r="C37" s="1031"/>
      <c r="D37" s="1032"/>
      <c r="E37" s="763" t="b">
        <f>IF(M10&lt;0,FALSE,IF(M10&gt;=0,TRUE,FALSE))</f>
        <v>1</v>
      </c>
      <c r="F37" s="762"/>
      <c r="G37" s="762"/>
      <c r="H37" s="762"/>
      <c r="I37" s="762"/>
    </row>
    <row r="38" spans="1:9" x14ac:dyDescent="0.25">
      <c r="A38" s="762"/>
      <c r="B38" s="762"/>
      <c r="C38" s="762"/>
      <c r="D38" s="762"/>
      <c r="E38" s="762"/>
      <c r="F38" s="762"/>
      <c r="G38" s="762"/>
      <c r="H38" s="762"/>
      <c r="I38" s="762"/>
    </row>
  </sheetData>
  <sheetProtection algorithmName="SHA-512" hashValue="QtrHFBkcWCQOBYHFBityc3lvlAf9ZeorpC9R3RlJZw5FYU0akbGKZ0fpgDLmedqMRsZ7Vt0dztYdCVDW62Gpsw==" saltValue="xiMP+0dGWSn8mOYyeRm7tw==" spinCount="100000" sheet="1" selectLockedCells="1"/>
  <mergeCells count="76">
    <mergeCell ref="B10:C10"/>
    <mergeCell ref="E1:J1"/>
    <mergeCell ref="G12:H12"/>
    <mergeCell ref="E7:F7"/>
    <mergeCell ref="E11:F11"/>
    <mergeCell ref="E10:F10"/>
    <mergeCell ref="D2:J6"/>
    <mergeCell ref="G8:H8"/>
    <mergeCell ref="G7:H7"/>
    <mergeCell ref="I7:J7"/>
    <mergeCell ref="I8:J8"/>
    <mergeCell ref="I10:J10"/>
    <mergeCell ref="C7:D7"/>
    <mergeCell ref="B9:C9"/>
    <mergeCell ref="E12:F12"/>
    <mergeCell ref="E8:F8"/>
    <mergeCell ref="A37:D37"/>
    <mergeCell ref="A20:D20"/>
    <mergeCell ref="H20:I20"/>
    <mergeCell ref="H21:I21"/>
    <mergeCell ref="H22:I22"/>
    <mergeCell ref="A25:D25"/>
    <mergeCell ref="A27:D27"/>
    <mergeCell ref="A29:D29"/>
    <mergeCell ref="A22:D22"/>
    <mergeCell ref="A21:D21"/>
    <mergeCell ref="A31:D31"/>
    <mergeCell ref="A24:D24"/>
    <mergeCell ref="F31:G31"/>
    <mergeCell ref="A26:D26"/>
    <mergeCell ref="A30:D30"/>
    <mergeCell ref="B3:C6"/>
    <mergeCell ref="A32:D32"/>
    <mergeCell ref="A33:D33"/>
    <mergeCell ref="G14:H14"/>
    <mergeCell ref="G13:H13"/>
    <mergeCell ref="F19:I19"/>
    <mergeCell ref="E15:F15"/>
    <mergeCell ref="B18:C18"/>
    <mergeCell ref="I18:J18"/>
    <mergeCell ref="E13:F13"/>
    <mergeCell ref="B16:C16"/>
    <mergeCell ref="B15:C15"/>
    <mergeCell ref="G18:H18"/>
    <mergeCell ref="C8:D8"/>
    <mergeCell ref="E16:F16"/>
    <mergeCell ref="I11:J11"/>
    <mergeCell ref="I9:J9"/>
    <mergeCell ref="A34:D34"/>
    <mergeCell ref="A35:D35"/>
    <mergeCell ref="F23:I24"/>
    <mergeCell ref="A36:D36"/>
    <mergeCell ref="B17:C17"/>
    <mergeCell ref="G28:G29"/>
    <mergeCell ref="E9:F9"/>
    <mergeCell ref="G9:H9"/>
    <mergeCell ref="G11:H11"/>
    <mergeCell ref="G10:H10"/>
    <mergeCell ref="A28:D28"/>
    <mergeCell ref="B14:C14"/>
    <mergeCell ref="B13:C13"/>
    <mergeCell ref="B12:C12"/>
    <mergeCell ref="B11:C11"/>
    <mergeCell ref="L12:M12"/>
    <mergeCell ref="I14:J14"/>
    <mergeCell ref="I13:J13"/>
    <mergeCell ref="E18:F18"/>
    <mergeCell ref="I16:J16"/>
    <mergeCell ref="I15:J15"/>
    <mergeCell ref="E17:F17"/>
    <mergeCell ref="I17:J17"/>
    <mergeCell ref="G17:H17"/>
    <mergeCell ref="G16:H16"/>
    <mergeCell ref="G15:H15"/>
    <mergeCell ref="E14:F14"/>
    <mergeCell ref="I12:J12"/>
  </mergeCells>
  <conditionalFormatting sqref="B18:C18">
    <cfRule type="cellIs" dxfId="10" priority="6" operator="notEqual">
      <formula>1</formula>
    </cfRule>
  </conditionalFormatting>
  <conditionalFormatting sqref="E21:E22">
    <cfRule type="expression" dxfId="9" priority="13">
      <formula>"ISTEXT($A$2)"</formula>
    </cfRule>
  </conditionalFormatting>
  <conditionalFormatting sqref="E21:E37">
    <cfRule type="containsText" dxfId="8" priority="2" operator="containsText" text="FALSE">
      <formula>NOT(ISERROR(SEARCH("FALSE",E21)))</formula>
    </cfRule>
    <cfRule type="containsText" dxfId="7" priority="3" operator="containsText" text="TRUE">
      <formula>NOT(ISERROR(SEARCH("TRUE",E21)))</formula>
    </cfRule>
  </conditionalFormatting>
  <conditionalFormatting sqref="E32:E37">
    <cfRule type="expression" dxfId="6" priority="1">
      <formula>"IF""TRUE"""</formula>
    </cfRule>
  </conditionalFormatting>
  <conditionalFormatting sqref="F23:I24">
    <cfRule type="expression" dxfId="5" priority="5">
      <formula>H20="Please Select"</formula>
    </cfRule>
  </conditionalFormatting>
  <conditionalFormatting sqref="I8:J8">
    <cfRule type="expression" dxfId="4" priority="10">
      <formula>$I$8&lt;$A$8</formula>
    </cfRule>
  </conditionalFormatting>
  <conditionalFormatting sqref="I18:J18">
    <cfRule type="expression" dxfId="3" priority="11">
      <formula>$I$18&lt;&gt;$E$8</formula>
    </cfRule>
    <cfRule type="expression" dxfId="2" priority="12">
      <formula>$I$18=$E$8</formula>
    </cfRule>
  </conditionalFormatting>
  <conditionalFormatting sqref="M10">
    <cfRule type="cellIs" dxfId="1" priority="7" operator="lessThan">
      <formula>0</formula>
    </cfRule>
    <cfRule type="cellIs" dxfId="0" priority="8" operator="greaterThanOrEqual">
      <formula>0</formula>
    </cfRule>
    <cfRule type="expression" priority="9">
      <formula>"IF+$M$10&gt;0+$M$10=0"</formula>
    </cfRule>
  </conditionalFormatting>
  <conditionalFormatting sqref="M20">
    <cfRule type="colorScale" priority="4">
      <colorScale>
        <cfvo type="formula" val="TRUE"/>
        <cfvo type="max"/>
        <color rgb="FF00B050"/>
        <color rgb="FFFFEF9C"/>
      </colorScale>
    </cfRule>
  </conditionalFormatting>
  <dataValidations count="5">
    <dataValidation operator="greaterThan" allowBlank="1" showInputMessage="1" showErrorMessage="1" sqref="I8:J8" xr:uid="{39FB7ACD-3911-4F70-91CD-C40AD3529BC8}"/>
    <dataValidation type="list" allowBlank="1" showInputMessage="1" showErrorMessage="1" sqref="C2" xr:uid="{916067B0-6ECF-4D05-B688-A9D8DB612D8A}">
      <formula1>"N/A, QLD, NSW, VIC"</formula1>
    </dataValidation>
    <dataValidation type="list" allowBlank="1" showInputMessage="1" showErrorMessage="1" sqref="C1" xr:uid="{C3C18ECA-322E-4C5F-9365-FAC1A5C99DE7}">
      <formula1>"Yes, No"</formula1>
    </dataValidation>
    <dataValidation type="list" allowBlank="1" showInputMessage="1" showErrorMessage="1" sqref="H20" xr:uid="{09FD909C-F18E-4F85-B1A3-51C9E8124097}">
      <formula1>"Please Select, Metro, Regional"</formula1>
    </dataValidation>
    <dataValidation type="list" allowBlank="1" showInputMessage="1" showErrorMessage="1" sqref="C8:D8" xr:uid="{A4C1671C-7A86-467E-A036-49E967326540}">
      <formula1>"MOVE, ANZ, CBA, NAB, Westpac, ING, Bendigo, Macquarie, Suncorp, BankWest, Other"</formula1>
    </dataValidation>
  </dataValidations>
  <hyperlinks>
    <hyperlink ref="F33" r:id="rId1" xr:uid="{C5CDA969-1DB9-4BF1-8D6F-8BCE40497702}"/>
    <hyperlink ref="F34" r:id="rId2" xr:uid="{C311FEE9-93CE-4FB5-8981-E45CD95F5DF3}"/>
    <hyperlink ref="F32" r:id="rId3" xr:uid="{2166166C-F14D-473E-BCE9-E16B57C7094A}"/>
  </hyperlinks>
  <pageMargins left="0.7" right="0.7" top="0.75" bottom="0.75" header="0.3" footer="0.3"/>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F236"/>
  <sheetViews>
    <sheetView topLeftCell="A127" workbookViewId="0">
      <selection activeCell="E248" sqref="E248"/>
    </sheetView>
  </sheetViews>
  <sheetFormatPr defaultColWidth="8.7109375" defaultRowHeight="12.75" x14ac:dyDescent="0.2"/>
  <cols>
    <col min="1" max="1" width="25.5703125" bestFit="1" customWidth="1"/>
    <col min="2" max="2" width="26.42578125" bestFit="1" customWidth="1"/>
    <col min="3" max="3" width="27.5703125" bestFit="1" customWidth="1"/>
    <col min="4" max="4" width="22.5703125" bestFit="1" customWidth="1"/>
    <col min="5" max="5" width="25.5703125" bestFit="1" customWidth="1"/>
    <col min="6" max="6" width="19" bestFit="1" customWidth="1"/>
  </cols>
  <sheetData>
    <row r="1" spans="1:6" x14ac:dyDescent="0.2">
      <c r="A1" s="426" t="s">
        <v>557</v>
      </c>
    </row>
    <row r="3" spans="1:6" ht="20.25" x14ac:dyDescent="0.3">
      <c r="A3" s="53" t="s">
        <v>558</v>
      </c>
      <c r="B3" s="53" t="s">
        <v>559</v>
      </c>
      <c r="C3" s="53" t="s">
        <v>560</v>
      </c>
      <c r="D3" s="53" t="s">
        <v>561</v>
      </c>
      <c r="E3" s="53" t="s">
        <v>562</v>
      </c>
      <c r="F3" s="53" t="s">
        <v>563</v>
      </c>
    </row>
    <row r="4" spans="1:6" x14ac:dyDescent="0.2">
      <c r="A4" s="54" t="s">
        <v>231</v>
      </c>
      <c r="B4" s="54" t="s">
        <v>232</v>
      </c>
      <c r="C4" s="54" t="s">
        <v>230</v>
      </c>
      <c r="D4" s="54" t="s">
        <v>233</v>
      </c>
      <c r="E4" s="54" t="s">
        <v>234</v>
      </c>
      <c r="F4" s="54" t="s">
        <v>235</v>
      </c>
    </row>
    <row r="5" spans="1:6" x14ac:dyDescent="0.2">
      <c r="A5" s="55" t="s">
        <v>564</v>
      </c>
      <c r="B5" s="55" t="s">
        <v>565</v>
      </c>
      <c r="C5" s="55" t="s">
        <v>566</v>
      </c>
      <c r="D5" s="55" t="s">
        <v>567</v>
      </c>
      <c r="E5" s="55" t="s">
        <v>568</v>
      </c>
      <c r="F5" s="55" t="s">
        <v>569</v>
      </c>
    </row>
    <row r="6" spans="1:6" x14ac:dyDescent="0.2">
      <c r="A6" s="54" t="s">
        <v>570</v>
      </c>
      <c r="B6" s="54" t="s">
        <v>571</v>
      </c>
      <c r="C6" s="54" t="s">
        <v>572</v>
      </c>
      <c r="D6" s="54" t="s">
        <v>573</v>
      </c>
      <c r="E6" s="54" t="s">
        <v>574</v>
      </c>
      <c r="F6" s="54" t="s">
        <v>575</v>
      </c>
    </row>
    <row r="7" spans="1:6" x14ac:dyDescent="0.2">
      <c r="A7" s="54" t="s">
        <v>576</v>
      </c>
      <c r="B7" s="54" t="s">
        <v>577</v>
      </c>
      <c r="C7" s="54" t="s">
        <v>578</v>
      </c>
      <c r="D7" s="54" t="s">
        <v>579</v>
      </c>
      <c r="E7" s="54" t="s">
        <v>580</v>
      </c>
      <c r="F7" s="54" t="s">
        <v>581</v>
      </c>
    </row>
    <row r="8" spans="1:6" x14ac:dyDescent="0.2">
      <c r="A8" s="54" t="s">
        <v>582</v>
      </c>
      <c r="B8" s="54" t="s">
        <v>583</v>
      </c>
      <c r="C8" s="54" t="s">
        <v>584</v>
      </c>
      <c r="D8" s="54" t="s">
        <v>585</v>
      </c>
      <c r="E8" s="54" t="s">
        <v>586</v>
      </c>
      <c r="F8" s="54" t="s">
        <v>587</v>
      </c>
    </row>
    <row r="9" spans="1:6" x14ac:dyDescent="0.2">
      <c r="A9" s="54" t="s">
        <v>588</v>
      </c>
      <c r="B9" s="54" t="s">
        <v>589</v>
      </c>
      <c r="C9" s="54" t="s">
        <v>590</v>
      </c>
      <c r="D9" s="54" t="s">
        <v>591</v>
      </c>
      <c r="E9" s="54" t="s">
        <v>592</v>
      </c>
      <c r="F9" s="54" t="s">
        <v>593</v>
      </c>
    </row>
    <row r="10" spans="1:6" x14ac:dyDescent="0.2">
      <c r="A10" s="54" t="s">
        <v>594</v>
      </c>
      <c r="B10" s="54" t="s">
        <v>595</v>
      </c>
      <c r="C10" s="54" t="s">
        <v>596</v>
      </c>
      <c r="D10" s="54" t="s">
        <v>597</v>
      </c>
      <c r="E10" s="54" t="s">
        <v>598</v>
      </c>
      <c r="F10" s="54" t="s">
        <v>599</v>
      </c>
    </row>
    <row r="11" spans="1:6" x14ac:dyDescent="0.2">
      <c r="A11" s="54" t="s">
        <v>600</v>
      </c>
      <c r="B11" s="54" t="s">
        <v>601</v>
      </c>
      <c r="C11" s="54" t="s">
        <v>602</v>
      </c>
      <c r="D11" s="54" t="s">
        <v>603</v>
      </c>
      <c r="E11" s="54" t="s">
        <v>604</v>
      </c>
      <c r="F11" s="54" t="s">
        <v>605</v>
      </c>
    </row>
    <row r="12" spans="1:6" x14ac:dyDescent="0.2">
      <c r="A12" s="54" t="s">
        <v>606</v>
      </c>
      <c r="B12" s="54" t="s">
        <v>607</v>
      </c>
      <c r="C12" s="54" t="s">
        <v>608</v>
      </c>
      <c r="D12" s="54" t="s">
        <v>609</v>
      </c>
      <c r="E12" s="54" t="s">
        <v>610</v>
      </c>
      <c r="F12" s="54" t="s">
        <v>611</v>
      </c>
    </row>
    <row r="13" spans="1:6" x14ac:dyDescent="0.2">
      <c r="A13" s="55" t="s">
        <v>612</v>
      </c>
      <c r="B13" s="54" t="s">
        <v>613</v>
      </c>
      <c r="C13" s="54" t="s">
        <v>614</v>
      </c>
      <c r="D13" s="54" t="s">
        <v>615</v>
      </c>
      <c r="E13" s="54" t="s">
        <v>616</v>
      </c>
      <c r="F13" s="54" t="s">
        <v>617</v>
      </c>
    </row>
    <row r="14" spans="1:6" x14ac:dyDescent="0.2">
      <c r="A14" s="54" t="s">
        <v>618</v>
      </c>
      <c r="B14" s="55" t="s">
        <v>619</v>
      </c>
      <c r="C14" s="54" t="s">
        <v>620</v>
      </c>
      <c r="D14" s="54" t="s">
        <v>621</v>
      </c>
      <c r="E14" s="54" t="s">
        <v>622</v>
      </c>
    </row>
    <row r="15" spans="1:6" x14ac:dyDescent="0.2">
      <c r="A15" s="54" t="s">
        <v>623</v>
      </c>
      <c r="B15" s="54" t="s">
        <v>624</v>
      </c>
      <c r="C15" s="54" t="s">
        <v>625</v>
      </c>
      <c r="D15" s="54" t="s">
        <v>626</v>
      </c>
      <c r="E15" s="54" t="s">
        <v>627</v>
      </c>
    </row>
    <row r="16" spans="1:6" x14ac:dyDescent="0.2">
      <c r="A16" s="54" t="s">
        <v>628</v>
      </c>
      <c r="B16" s="54" t="s">
        <v>629</v>
      </c>
      <c r="C16" s="54" t="s">
        <v>630</v>
      </c>
      <c r="D16" s="54" t="s">
        <v>631</v>
      </c>
      <c r="E16" s="55" t="s">
        <v>632</v>
      </c>
    </row>
    <row r="17" spans="1:5" x14ac:dyDescent="0.2">
      <c r="A17" s="55" t="s">
        <v>633</v>
      </c>
      <c r="B17" s="54" t="s">
        <v>634</v>
      </c>
      <c r="C17" s="54" t="s">
        <v>635</v>
      </c>
      <c r="D17" s="54" t="s">
        <v>636</v>
      </c>
      <c r="E17" s="54" t="s">
        <v>637</v>
      </c>
    </row>
    <row r="18" spans="1:5" x14ac:dyDescent="0.2">
      <c r="A18" s="54" t="s">
        <v>638</v>
      </c>
      <c r="B18" s="54" t="s">
        <v>639</v>
      </c>
      <c r="C18" s="54" t="s">
        <v>640</v>
      </c>
      <c r="D18" s="54" t="s">
        <v>641</v>
      </c>
      <c r="E18" s="54" t="s">
        <v>642</v>
      </c>
    </row>
    <row r="19" spans="1:5" x14ac:dyDescent="0.2">
      <c r="A19" s="54" t="s">
        <v>643</v>
      </c>
      <c r="B19" s="54" t="s">
        <v>644</v>
      </c>
      <c r="C19" s="54" t="s">
        <v>645</v>
      </c>
      <c r="D19" s="54" t="s">
        <v>646</v>
      </c>
      <c r="E19" s="54" t="s">
        <v>647</v>
      </c>
    </row>
    <row r="20" spans="1:5" x14ac:dyDescent="0.2">
      <c r="A20" s="54" t="s">
        <v>648</v>
      </c>
      <c r="B20" s="54" t="s">
        <v>649</v>
      </c>
      <c r="C20" s="54" t="s">
        <v>650</v>
      </c>
      <c r="D20" s="54" t="s">
        <v>651</v>
      </c>
      <c r="E20" s="54" t="s">
        <v>652</v>
      </c>
    </row>
    <row r="21" spans="1:5" x14ac:dyDescent="0.2">
      <c r="A21" s="54" t="s">
        <v>653</v>
      </c>
      <c r="B21" s="54" t="s">
        <v>654</v>
      </c>
      <c r="C21" s="54" t="s">
        <v>655</v>
      </c>
      <c r="D21" s="54" t="s">
        <v>656</v>
      </c>
      <c r="E21" s="54" t="s">
        <v>657</v>
      </c>
    </row>
    <row r="22" spans="1:5" x14ac:dyDescent="0.2">
      <c r="A22" s="54" t="s">
        <v>658</v>
      </c>
      <c r="B22" s="55" t="s">
        <v>659</v>
      </c>
      <c r="C22" s="54" t="s">
        <v>660</v>
      </c>
      <c r="D22" s="54" t="s">
        <v>661</v>
      </c>
      <c r="E22" s="55" t="s">
        <v>662</v>
      </c>
    </row>
    <row r="23" spans="1:5" x14ac:dyDescent="0.2">
      <c r="A23" s="55" t="s">
        <v>663</v>
      </c>
      <c r="B23" s="54" t="s">
        <v>664</v>
      </c>
      <c r="C23" s="54" t="s">
        <v>665</v>
      </c>
      <c r="D23" s="55" t="s">
        <v>666</v>
      </c>
      <c r="E23" s="54" t="s">
        <v>667</v>
      </c>
    </row>
    <row r="24" spans="1:5" x14ac:dyDescent="0.2">
      <c r="A24" s="54" t="s">
        <v>668</v>
      </c>
      <c r="B24" s="54" t="s">
        <v>669</v>
      </c>
      <c r="C24" s="55" t="s">
        <v>670</v>
      </c>
      <c r="D24" s="54" t="s">
        <v>671</v>
      </c>
      <c r="E24" s="54" t="s">
        <v>672</v>
      </c>
    </row>
    <row r="25" spans="1:5" x14ac:dyDescent="0.2">
      <c r="A25" s="54" t="s">
        <v>673</v>
      </c>
      <c r="B25" s="54" t="s">
        <v>674</v>
      </c>
      <c r="C25" s="54" t="s">
        <v>675</v>
      </c>
      <c r="D25" s="54" t="s">
        <v>676</v>
      </c>
      <c r="E25" s="54" t="s">
        <v>677</v>
      </c>
    </row>
    <row r="26" spans="1:5" x14ac:dyDescent="0.2">
      <c r="A26" s="54" t="s">
        <v>678</v>
      </c>
      <c r="B26" s="54" t="s">
        <v>679</v>
      </c>
      <c r="C26" s="54" t="s">
        <v>680</v>
      </c>
      <c r="D26" s="54" t="s">
        <v>681</v>
      </c>
      <c r="E26" s="54" t="s">
        <v>682</v>
      </c>
    </row>
    <row r="27" spans="1:5" x14ac:dyDescent="0.2">
      <c r="A27" s="54" t="s">
        <v>683</v>
      </c>
      <c r="B27" s="54" t="s">
        <v>684</v>
      </c>
      <c r="C27" s="54" t="s">
        <v>685</v>
      </c>
      <c r="D27" s="54" t="s">
        <v>686</v>
      </c>
      <c r="E27" s="54" t="s">
        <v>687</v>
      </c>
    </row>
    <row r="28" spans="1:5" x14ac:dyDescent="0.2">
      <c r="A28" s="55" t="s">
        <v>688</v>
      </c>
      <c r="B28" s="55" t="s">
        <v>689</v>
      </c>
      <c r="C28" s="54" t="s">
        <v>690</v>
      </c>
      <c r="D28" s="54" t="s">
        <v>691</v>
      </c>
      <c r="E28" s="54" t="s">
        <v>692</v>
      </c>
    </row>
    <row r="29" spans="1:5" x14ac:dyDescent="0.2">
      <c r="A29" s="54" t="s">
        <v>693</v>
      </c>
      <c r="B29" s="54" t="s">
        <v>694</v>
      </c>
      <c r="C29" s="54" t="s">
        <v>695</v>
      </c>
      <c r="D29" s="54" t="s">
        <v>696</v>
      </c>
      <c r="E29" s="54" t="s">
        <v>697</v>
      </c>
    </row>
    <row r="30" spans="1:5" x14ac:dyDescent="0.2">
      <c r="A30" s="54" t="s">
        <v>698</v>
      </c>
      <c r="B30" s="54" t="s">
        <v>699</v>
      </c>
      <c r="C30" s="54" t="s">
        <v>700</v>
      </c>
      <c r="D30" s="54" t="s">
        <v>701</v>
      </c>
      <c r="E30" s="54" t="s">
        <v>702</v>
      </c>
    </row>
    <row r="31" spans="1:5" x14ac:dyDescent="0.2">
      <c r="A31" s="54" t="s">
        <v>703</v>
      </c>
      <c r="B31" s="54" t="s">
        <v>704</v>
      </c>
      <c r="C31" s="54" t="s">
        <v>705</v>
      </c>
      <c r="D31" s="54" t="s">
        <v>706</v>
      </c>
      <c r="E31" s="55" t="s">
        <v>707</v>
      </c>
    </row>
    <row r="32" spans="1:5" x14ac:dyDescent="0.2">
      <c r="A32" s="54" t="s">
        <v>708</v>
      </c>
      <c r="B32" s="55" t="s">
        <v>709</v>
      </c>
      <c r="C32" s="54" t="s">
        <v>710</v>
      </c>
      <c r="D32" s="54" t="s">
        <v>711</v>
      </c>
      <c r="E32" s="54" t="s">
        <v>712</v>
      </c>
    </row>
    <row r="33" spans="1:5" x14ac:dyDescent="0.2">
      <c r="A33" s="55" t="s">
        <v>713</v>
      </c>
      <c r="B33" s="54" t="s">
        <v>714</v>
      </c>
      <c r="C33" s="54" t="s">
        <v>715</v>
      </c>
      <c r="D33" s="54" t="s">
        <v>716</v>
      </c>
      <c r="E33" s="54" t="s">
        <v>717</v>
      </c>
    </row>
    <row r="34" spans="1:5" x14ac:dyDescent="0.2">
      <c r="A34" s="54" t="s">
        <v>718</v>
      </c>
      <c r="B34" s="54" t="s">
        <v>719</v>
      </c>
      <c r="C34" s="54" t="s">
        <v>720</v>
      </c>
      <c r="D34" s="55" t="s">
        <v>721</v>
      </c>
      <c r="E34" s="54" t="s">
        <v>722</v>
      </c>
    </row>
    <row r="35" spans="1:5" x14ac:dyDescent="0.2">
      <c r="A35" s="54" t="s">
        <v>723</v>
      </c>
      <c r="B35" s="54" t="s">
        <v>724</v>
      </c>
      <c r="C35" s="54" t="s">
        <v>725</v>
      </c>
      <c r="D35" s="54" t="s">
        <v>726</v>
      </c>
      <c r="E35" s="54" t="s">
        <v>727</v>
      </c>
    </row>
    <row r="36" spans="1:5" x14ac:dyDescent="0.2">
      <c r="A36" s="54" t="s">
        <v>728</v>
      </c>
      <c r="B36" s="54" t="s">
        <v>729</v>
      </c>
      <c r="C36" s="54" t="s">
        <v>730</v>
      </c>
      <c r="D36" s="54" t="s">
        <v>731</v>
      </c>
      <c r="E36" s="54" t="s">
        <v>732</v>
      </c>
    </row>
    <row r="37" spans="1:5" x14ac:dyDescent="0.2">
      <c r="A37" s="54" t="s">
        <v>733</v>
      </c>
      <c r="B37" s="55" t="s">
        <v>734</v>
      </c>
      <c r="C37" s="54" t="s">
        <v>735</v>
      </c>
      <c r="D37" s="54" t="s">
        <v>736</v>
      </c>
      <c r="E37" s="54" t="s">
        <v>737</v>
      </c>
    </row>
    <row r="38" spans="1:5" x14ac:dyDescent="0.2">
      <c r="A38" s="55" t="s">
        <v>738</v>
      </c>
      <c r="B38" s="54" t="s">
        <v>739</v>
      </c>
      <c r="C38" s="54" t="s">
        <v>740</v>
      </c>
      <c r="D38" s="54" t="s">
        <v>741</v>
      </c>
      <c r="E38" s="54" t="s">
        <v>742</v>
      </c>
    </row>
    <row r="39" spans="1:5" x14ac:dyDescent="0.2">
      <c r="A39" s="54" t="s">
        <v>743</v>
      </c>
      <c r="B39" s="54" t="s">
        <v>744</v>
      </c>
      <c r="C39" s="54" t="s">
        <v>745</v>
      </c>
      <c r="D39" s="54" t="s">
        <v>746</v>
      </c>
      <c r="E39" s="55" t="s">
        <v>747</v>
      </c>
    </row>
    <row r="40" spans="1:5" x14ac:dyDescent="0.2">
      <c r="A40" s="54" t="s">
        <v>748</v>
      </c>
      <c r="B40" s="54" t="s">
        <v>749</v>
      </c>
      <c r="C40" s="54" t="s">
        <v>750</v>
      </c>
      <c r="D40" s="54" t="s">
        <v>751</v>
      </c>
      <c r="E40" s="54" t="s">
        <v>752</v>
      </c>
    </row>
    <row r="41" spans="1:5" x14ac:dyDescent="0.2">
      <c r="A41" s="54" t="s">
        <v>753</v>
      </c>
      <c r="B41" s="55" t="s">
        <v>754</v>
      </c>
      <c r="C41" s="54" t="s">
        <v>755</v>
      </c>
      <c r="D41" s="54" t="s">
        <v>756</v>
      </c>
      <c r="E41" s="54" t="s">
        <v>757</v>
      </c>
    </row>
    <row r="42" spans="1:5" x14ac:dyDescent="0.2">
      <c r="A42" s="54" t="s">
        <v>758</v>
      </c>
      <c r="B42" s="54" t="s">
        <v>759</v>
      </c>
      <c r="C42" s="54" t="s">
        <v>760</v>
      </c>
      <c r="D42" s="54" t="s">
        <v>761</v>
      </c>
      <c r="E42" s="54" t="s">
        <v>762</v>
      </c>
    </row>
    <row r="43" spans="1:5" x14ac:dyDescent="0.2">
      <c r="A43" s="54" t="s">
        <v>763</v>
      </c>
      <c r="B43" s="54" t="s">
        <v>764</v>
      </c>
      <c r="C43" s="54" t="s">
        <v>765</v>
      </c>
      <c r="D43" s="54" t="s">
        <v>766</v>
      </c>
      <c r="E43" s="54" t="s">
        <v>767</v>
      </c>
    </row>
    <row r="44" spans="1:5" x14ac:dyDescent="0.2">
      <c r="A44" s="55" t="s">
        <v>768</v>
      </c>
      <c r="B44" s="54" t="s">
        <v>769</v>
      </c>
      <c r="C44" s="54" t="s">
        <v>770</v>
      </c>
      <c r="D44" s="54" t="s">
        <v>771</v>
      </c>
      <c r="E44" s="54" t="s">
        <v>772</v>
      </c>
    </row>
    <row r="45" spans="1:5" x14ac:dyDescent="0.2">
      <c r="A45" s="54" t="s">
        <v>773</v>
      </c>
      <c r="B45" s="54" t="s">
        <v>774</v>
      </c>
      <c r="C45" s="54" t="s">
        <v>775</v>
      </c>
      <c r="D45" s="54" t="s">
        <v>776</v>
      </c>
      <c r="E45" s="54" t="s">
        <v>777</v>
      </c>
    </row>
    <row r="46" spans="1:5" x14ac:dyDescent="0.2">
      <c r="A46" s="54" t="s">
        <v>778</v>
      </c>
      <c r="B46" s="54" t="s">
        <v>779</v>
      </c>
      <c r="C46" s="54" t="s">
        <v>780</v>
      </c>
      <c r="D46" s="54" t="s">
        <v>781</v>
      </c>
      <c r="E46" s="54" t="s">
        <v>782</v>
      </c>
    </row>
    <row r="47" spans="1:5" x14ac:dyDescent="0.2">
      <c r="A47" s="54" t="s">
        <v>783</v>
      </c>
      <c r="B47" s="54" t="s">
        <v>784</v>
      </c>
      <c r="C47" s="54" t="s">
        <v>785</v>
      </c>
      <c r="D47" s="54" t="s">
        <v>786</v>
      </c>
    </row>
    <row r="48" spans="1:5" x14ac:dyDescent="0.2">
      <c r="A48" s="54" t="s">
        <v>787</v>
      </c>
      <c r="B48" s="55" t="s">
        <v>788</v>
      </c>
      <c r="C48" s="54" t="s">
        <v>789</v>
      </c>
      <c r="D48" s="55" t="s">
        <v>790</v>
      </c>
    </row>
    <row r="49" spans="1:4" x14ac:dyDescent="0.2">
      <c r="A49" s="54" t="s">
        <v>791</v>
      </c>
      <c r="B49" s="54" t="s">
        <v>792</v>
      </c>
      <c r="C49" s="54" t="s">
        <v>793</v>
      </c>
      <c r="D49" s="54" t="s">
        <v>794</v>
      </c>
    </row>
    <row r="50" spans="1:4" x14ac:dyDescent="0.2">
      <c r="A50" s="54" t="s">
        <v>795</v>
      </c>
      <c r="B50" s="54" t="s">
        <v>796</v>
      </c>
      <c r="C50" s="54" t="s">
        <v>797</v>
      </c>
      <c r="D50" s="54" t="s">
        <v>798</v>
      </c>
    </row>
    <row r="51" spans="1:4" x14ac:dyDescent="0.2">
      <c r="A51" s="55" t="s">
        <v>799</v>
      </c>
      <c r="B51" s="54" t="s">
        <v>800</v>
      </c>
      <c r="C51" s="54" t="s">
        <v>801</v>
      </c>
      <c r="D51" s="54" t="s">
        <v>802</v>
      </c>
    </row>
    <row r="52" spans="1:4" x14ac:dyDescent="0.2">
      <c r="A52" s="54" t="s">
        <v>803</v>
      </c>
      <c r="B52" s="54" t="s">
        <v>804</v>
      </c>
      <c r="C52" s="55" t="s">
        <v>805</v>
      </c>
      <c r="D52" s="54" t="s">
        <v>806</v>
      </c>
    </row>
    <row r="53" spans="1:4" x14ac:dyDescent="0.2">
      <c r="A53" s="54" t="s">
        <v>807</v>
      </c>
      <c r="B53" s="55" t="s">
        <v>808</v>
      </c>
      <c r="C53" s="54" t="s">
        <v>809</v>
      </c>
      <c r="D53" s="54" t="s">
        <v>810</v>
      </c>
    </row>
    <row r="54" spans="1:4" x14ac:dyDescent="0.2">
      <c r="A54" s="54" t="s">
        <v>811</v>
      </c>
      <c r="B54" s="54" t="s">
        <v>812</v>
      </c>
      <c r="C54" s="54" t="s">
        <v>813</v>
      </c>
      <c r="D54" s="54" t="s">
        <v>814</v>
      </c>
    </row>
    <row r="55" spans="1:4" x14ac:dyDescent="0.2">
      <c r="A55" s="54" t="s">
        <v>815</v>
      </c>
      <c r="B55" s="54" t="s">
        <v>816</v>
      </c>
      <c r="C55" s="54" t="s">
        <v>817</v>
      </c>
      <c r="D55" s="54" t="s">
        <v>818</v>
      </c>
    </row>
    <row r="56" spans="1:4" x14ac:dyDescent="0.2">
      <c r="A56" s="55" t="s">
        <v>819</v>
      </c>
      <c r="B56" s="54" t="s">
        <v>820</v>
      </c>
      <c r="C56" s="54" t="s">
        <v>821</v>
      </c>
      <c r="D56" s="54" t="s">
        <v>822</v>
      </c>
    </row>
    <row r="57" spans="1:4" x14ac:dyDescent="0.2">
      <c r="A57" s="54" t="s">
        <v>823</v>
      </c>
      <c r="B57" s="54" t="s">
        <v>824</v>
      </c>
      <c r="C57" s="54" t="s">
        <v>825</v>
      </c>
      <c r="D57" s="54" t="s">
        <v>826</v>
      </c>
    </row>
    <row r="58" spans="1:4" x14ac:dyDescent="0.2">
      <c r="A58" s="54" t="s">
        <v>827</v>
      </c>
      <c r="B58" s="54" t="s">
        <v>828</v>
      </c>
      <c r="C58" s="54" t="s">
        <v>829</v>
      </c>
      <c r="D58" s="54" t="s">
        <v>830</v>
      </c>
    </row>
    <row r="59" spans="1:4" x14ac:dyDescent="0.2">
      <c r="A59" s="54" t="s">
        <v>831</v>
      </c>
      <c r="B59" s="54" t="s">
        <v>832</v>
      </c>
      <c r="C59" s="54" t="s">
        <v>833</v>
      </c>
      <c r="D59" s="54" t="s">
        <v>834</v>
      </c>
    </row>
    <row r="60" spans="1:4" x14ac:dyDescent="0.2">
      <c r="A60" s="55" t="s">
        <v>835</v>
      </c>
      <c r="B60" s="54" t="s">
        <v>836</v>
      </c>
      <c r="C60" s="54" t="s">
        <v>837</v>
      </c>
      <c r="D60" s="54" t="s">
        <v>838</v>
      </c>
    </row>
    <row r="61" spans="1:4" x14ac:dyDescent="0.2">
      <c r="A61" s="54" t="s">
        <v>839</v>
      </c>
      <c r="B61" s="54" t="s">
        <v>840</v>
      </c>
      <c r="C61" s="54" t="s">
        <v>841</v>
      </c>
      <c r="D61" s="54" t="s">
        <v>842</v>
      </c>
    </row>
    <row r="62" spans="1:4" x14ac:dyDescent="0.2">
      <c r="A62" s="54" t="s">
        <v>843</v>
      </c>
      <c r="B62" s="55" t="s">
        <v>844</v>
      </c>
      <c r="C62" s="54" t="s">
        <v>845</v>
      </c>
      <c r="D62" s="54" t="s">
        <v>846</v>
      </c>
    </row>
    <row r="63" spans="1:4" x14ac:dyDescent="0.2">
      <c r="A63" s="54" t="s">
        <v>847</v>
      </c>
      <c r="B63" s="54" t="s">
        <v>848</v>
      </c>
      <c r="C63" s="54" t="s">
        <v>849</v>
      </c>
      <c r="D63" s="54" t="s">
        <v>850</v>
      </c>
    </row>
    <row r="64" spans="1:4" x14ac:dyDescent="0.2">
      <c r="A64" s="54" t="s">
        <v>851</v>
      </c>
      <c r="B64" s="54" t="s">
        <v>852</v>
      </c>
      <c r="C64" s="54" t="s">
        <v>853</v>
      </c>
    </row>
    <row r="65" spans="1:3" x14ac:dyDescent="0.2">
      <c r="A65" s="54" t="s">
        <v>854</v>
      </c>
      <c r="B65" s="54" t="s">
        <v>855</v>
      </c>
      <c r="C65" s="54" t="s">
        <v>856</v>
      </c>
    </row>
    <row r="66" spans="1:3" x14ac:dyDescent="0.2">
      <c r="A66" s="54" t="s">
        <v>857</v>
      </c>
      <c r="B66" s="54" t="s">
        <v>858</v>
      </c>
      <c r="C66" s="54" t="s">
        <v>859</v>
      </c>
    </row>
    <row r="67" spans="1:3" x14ac:dyDescent="0.2">
      <c r="A67" s="55" t="s">
        <v>860</v>
      </c>
      <c r="B67" s="54" t="s">
        <v>861</v>
      </c>
      <c r="C67" s="54" t="s">
        <v>862</v>
      </c>
    </row>
    <row r="68" spans="1:3" x14ac:dyDescent="0.2">
      <c r="A68" s="54" t="s">
        <v>863</v>
      </c>
      <c r="B68" s="55" t="s">
        <v>864</v>
      </c>
      <c r="C68" s="54" t="s">
        <v>865</v>
      </c>
    </row>
    <row r="69" spans="1:3" x14ac:dyDescent="0.2">
      <c r="A69" s="54" t="s">
        <v>866</v>
      </c>
      <c r="B69" s="54" t="s">
        <v>867</v>
      </c>
      <c r="C69" s="54" t="s">
        <v>868</v>
      </c>
    </row>
    <row r="70" spans="1:3" x14ac:dyDescent="0.2">
      <c r="A70" s="54" t="s">
        <v>869</v>
      </c>
      <c r="B70" s="54" t="s">
        <v>870</v>
      </c>
      <c r="C70" s="54" t="s">
        <v>871</v>
      </c>
    </row>
    <row r="71" spans="1:3" x14ac:dyDescent="0.2">
      <c r="A71" s="54" t="s">
        <v>872</v>
      </c>
      <c r="B71" s="54" t="s">
        <v>873</v>
      </c>
      <c r="C71" s="54" t="s">
        <v>874</v>
      </c>
    </row>
    <row r="72" spans="1:3" x14ac:dyDescent="0.2">
      <c r="A72" s="54" t="s">
        <v>875</v>
      </c>
      <c r="B72" s="54" t="s">
        <v>876</v>
      </c>
      <c r="C72" s="54" t="s">
        <v>877</v>
      </c>
    </row>
    <row r="73" spans="1:3" x14ac:dyDescent="0.2">
      <c r="A73" s="54" t="s">
        <v>878</v>
      </c>
      <c r="B73" s="54" t="s">
        <v>879</v>
      </c>
      <c r="C73" s="54" t="s">
        <v>880</v>
      </c>
    </row>
    <row r="74" spans="1:3" x14ac:dyDescent="0.2">
      <c r="A74" s="55" t="s">
        <v>881</v>
      </c>
      <c r="B74" s="55" t="s">
        <v>882</v>
      </c>
      <c r="C74" s="54" t="s">
        <v>883</v>
      </c>
    </row>
    <row r="75" spans="1:3" x14ac:dyDescent="0.2">
      <c r="A75" s="54" t="s">
        <v>884</v>
      </c>
      <c r="B75" s="54" t="s">
        <v>885</v>
      </c>
      <c r="C75" s="54" t="s">
        <v>886</v>
      </c>
    </row>
    <row r="76" spans="1:3" x14ac:dyDescent="0.2">
      <c r="A76" s="54" t="s">
        <v>887</v>
      </c>
      <c r="B76" s="54" t="s">
        <v>888</v>
      </c>
      <c r="C76" s="54" t="s">
        <v>889</v>
      </c>
    </row>
    <row r="77" spans="1:3" x14ac:dyDescent="0.2">
      <c r="A77" s="54" t="s">
        <v>890</v>
      </c>
      <c r="B77" s="54" t="s">
        <v>891</v>
      </c>
      <c r="C77" s="54" t="s">
        <v>892</v>
      </c>
    </row>
    <row r="78" spans="1:3" x14ac:dyDescent="0.2">
      <c r="A78" s="55" t="s">
        <v>893</v>
      </c>
      <c r="B78" s="54" t="s">
        <v>894</v>
      </c>
      <c r="C78" s="54" t="s">
        <v>895</v>
      </c>
    </row>
    <row r="79" spans="1:3" x14ac:dyDescent="0.2">
      <c r="A79" s="54" t="s">
        <v>896</v>
      </c>
      <c r="B79" s="54" t="s">
        <v>897</v>
      </c>
      <c r="C79" s="54" t="s">
        <v>898</v>
      </c>
    </row>
    <row r="80" spans="1:3" x14ac:dyDescent="0.2">
      <c r="A80" s="54" t="s">
        <v>899</v>
      </c>
      <c r="B80" s="54" t="s">
        <v>900</v>
      </c>
      <c r="C80" s="54" t="s">
        <v>901</v>
      </c>
    </row>
    <row r="81" spans="1:3" x14ac:dyDescent="0.2">
      <c r="A81" s="54" t="s">
        <v>902</v>
      </c>
      <c r="B81" s="54" t="s">
        <v>903</v>
      </c>
      <c r="C81" s="54" t="s">
        <v>904</v>
      </c>
    </row>
    <row r="82" spans="1:3" x14ac:dyDescent="0.2">
      <c r="A82" s="54" t="s">
        <v>905</v>
      </c>
      <c r="B82" s="55" t="s">
        <v>906</v>
      </c>
      <c r="C82" s="54" t="s">
        <v>907</v>
      </c>
    </row>
    <row r="83" spans="1:3" x14ac:dyDescent="0.2">
      <c r="B83" s="54" t="s">
        <v>908</v>
      </c>
      <c r="C83" s="54" t="s">
        <v>909</v>
      </c>
    </row>
    <row r="84" spans="1:3" x14ac:dyDescent="0.2">
      <c r="B84" s="54" t="s">
        <v>910</v>
      </c>
      <c r="C84" s="54" t="s">
        <v>911</v>
      </c>
    </row>
    <row r="85" spans="1:3" x14ac:dyDescent="0.2">
      <c r="B85" s="55" t="s">
        <v>912</v>
      </c>
      <c r="C85" s="54" t="s">
        <v>913</v>
      </c>
    </row>
    <row r="86" spans="1:3" x14ac:dyDescent="0.2">
      <c r="B86" s="54" t="s">
        <v>914</v>
      </c>
      <c r="C86" s="54" t="s">
        <v>915</v>
      </c>
    </row>
    <row r="87" spans="1:3" x14ac:dyDescent="0.2">
      <c r="B87" s="54" t="s">
        <v>916</v>
      </c>
      <c r="C87" s="54" t="s">
        <v>917</v>
      </c>
    </row>
    <row r="88" spans="1:3" x14ac:dyDescent="0.2">
      <c r="B88" s="54" t="s">
        <v>918</v>
      </c>
      <c r="C88" s="54" t="s">
        <v>919</v>
      </c>
    </row>
    <row r="89" spans="1:3" x14ac:dyDescent="0.2">
      <c r="B89" s="54" t="s">
        <v>920</v>
      </c>
      <c r="C89" s="54" t="s">
        <v>921</v>
      </c>
    </row>
    <row r="90" spans="1:3" x14ac:dyDescent="0.2">
      <c r="B90" s="54" t="s">
        <v>922</v>
      </c>
      <c r="C90" s="54" t="s">
        <v>923</v>
      </c>
    </row>
    <row r="91" spans="1:3" x14ac:dyDescent="0.2">
      <c r="B91" s="54" t="s">
        <v>924</v>
      </c>
      <c r="C91" s="54" t="s">
        <v>925</v>
      </c>
    </row>
    <row r="92" spans="1:3" x14ac:dyDescent="0.2">
      <c r="B92" s="54" t="s">
        <v>926</v>
      </c>
      <c r="C92" s="54" t="s">
        <v>927</v>
      </c>
    </row>
    <row r="93" spans="1:3" x14ac:dyDescent="0.2">
      <c r="B93" s="55" t="s">
        <v>928</v>
      </c>
      <c r="C93" s="54" t="s">
        <v>929</v>
      </c>
    </row>
    <row r="94" spans="1:3" x14ac:dyDescent="0.2">
      <c r="B94" s="54" t="s">
        <v>930</v>
      </c>
      <c r="C94" s="54" t="s">
        <v>931</v>
      </c>
    </row>
    <row r="95" spans="1:3" x14ac:dyDescent="0.2">
      <c r="B95" s="54" t="s">
        <v>932</v>
      </c>
      <c r="C95" s="54" t="s">
        <v>933</v>
      </c>
    </row>
    <row r="96" spans="1:3" x14ac:dyDescent="0.2">
      <c r="B96" s="55" t="s">
        <v>934</v>
      </c>
      <c r="C96" s="54" t="s">
        <v>935</v>
      </c>
    </row>
    <row r="97" spans="2:3" x14ac:dyDescent="0.2">
      <c r="B97" s="54" t="s">
        <v>936</v>
      </c>
      <c r="C97" s="54" t="s">
        <v>937</v>
      </c>
    </row>
    <row r="98" spans="2:3" x14ac:dyDescent="0.2">
      <c r="B98" s="54" t="s">
        <v>938</v>
      </c>
      <c r="C98" s="54" t="s">
        <v>939</v>
      </c>
    </row>
    <row r="99" spans="2:3" x14ac:dyDescent="0.2">
      <c r="B99" s="54" t="s">
        <v>940</v>
      </c>
      <c r="C99" s="54" t="s">
        <v>941</v>
      </c>
    </row>
    <row r="100" spans="2:3" x14ac:dyDescent="0.2">
      <c r="C100" s="54" t="s">
        <v>942</v>
      </c>
    </row>
    <row r="101" spans="2:3" x14ac:dyDescent="0.2">
      <c r="C101" s="54" t="s">
        <v>943</v>
      </c>
    </row>
    <row r="102" spans="2:3" x14ac:dyDescent="0.2">
      <c r="C102" s="54" t="s">
        <v>944</v>
      </c>
    </row>
    <row r="103" spans="2:3" x14ac:dyDescent="0.2">
      <c r="C103" s="54" t="s">
        <v>945</v>
      </c>
    </row>
    <row r="104" spans="2:3" x14ac:dyDescent="0.2">
      <c r="C104" s="54" t="s">
        <v>946</v>
      </c>
    </row>
    <row r="105" spans="2:3" x14ac:dyDescent="0.2">
      <c r="C105" s="54" t="s">
        <v>947</v>
      </c>
    </row>
    <row r="106" spans="2:3" x14ac:dyDescent="0.2">
      <c r="C106" s="55" t="s">
        <v>948</v>
      </c>
    </row>
    <row r="107" spans="2:3" x14ac:dyDescent="0.2">
      <c r="C107" s="54" t="s">
        <v>949</v>
      </c>
    </row>
    <row r="108" spans="2:3" x14ac:dyDescent="0.2">
      <c r="C108" s="54" t="s">
        <v>950</v>
      </c>
    </row>
    <row r="109" spans="2:3" x14ac:dyDescent="0.2">
      <c r="C109" s="54" t="s">
        <v>951</v>
      </c>
    </row>
    <row r="110" spans="2:3" x14ac:dyDescent="0.2">
      <c r="C110" s="54" t="s">
        <v>952</v>
      </c>
    </row>
    <row r="111" spans="2:3" x14ac:dyDescent="0.2">
      <c r="C111" s="54" t="s">
        <v>953</v>
      </c>
    </row>
    <row r="112" spans="2:3" x14ac:dyDescent="0.2">
      <c r="C112" s="54" t="s">
        <v>954</v>
      </c>
    </row>
    <row r="113" spans="3:3" x14ac:dyDescent="0.2">
      <c r="C113" s="54" t="s">
        <v>955</v>
      </c>
    </row>
    <row r="114" spans="3:3" x14ac:dyDescent="0.2">
      <c r="C114" s="54" t="s">
        <v>956</v>
      </c>
    </row>
    <row r="115" spans="3:3" x14ac:dyDescent="0.2">
      <c r="C115" s="54" t="s">
        <v>957</v>
      </c>
    </row>
    <row r="116" spans="3:3" x14ac:dyDescent="0.2">
      <c r="C116" s="54" t="s">
        <v>958</v>
      </c>
    </row>
    <row r="117" spans="3:3" x14ac:dyDescent="0.2">
      <c r="C117" s="54" t="s">
        <v>959</v>
      </c>
    </row>
    <row r="118" spans="3:3" x14ac:dyDescent="0.2">
      <c r="C118" s="54" t="s">
        <v>960</v>
      </c>
    </row>
    <row r="119" spans="3:3" x14ac:dyDescent="0.2">
      <c r="C119" s="54" t="s">
        <v>961</v>
      </c>
    </row>
    <row r="120" spans="3:3" x14ac:dyDescent="0.2">
      <c r="C120" s="54" t="s">
        <v>962</v>
      </c>
    </row>
    <row r="121" spans="3:3" x14ac:dyDescent="0.2">
      <c r="C121" s="54" t="s">
        <v>963</v>
      </c>
    </row>
    <row r="122" spans="3:3" x14ac:dyDescent="0.2">
      <c r="C122" s="54" t="s">
        <v>964</v>
      </c>
    </row>
    <row r="123" spans="3:3" x14ac:dyDescent="0.2">
      <c r="C123" s="54" t="s">
        <v>965</v>
      </c>
    </row>
    <row r="124" spans="3:3" x14ac:dyDescent="0.2">
      <c r="C124" s="54" t="s">
        <v>966</v>
      </c>
    </row>
    <row r="125" spans="3:3" x14ac:dyDescent="0.2">
      <c r="C125" s="54" t="s">
        <v>967</v>
      </c>
    </row>
    <row r="126" spans="3:3" x14ac:dyDescent="0.2">
      <c r="C126" s="54" t="s">
        <v>968</v>
      </c>
    </row>
    <row r="127" spans="3:3" x14ac:dyDescent="0.2">
      <c r="C127" s="54" t="s">
        <v>969</v>
      </c>
    </row>
    <row r="128" spans="3:3" x14ac:dyDescent="0.2">
      <c r="C128" s="55" t="s">
        <v>970</v>
      </c>
    </row>
    <row r="129" spans="3:3" x14ac:dyDescent="0.2">
      <c r="C129" s="54" t="s">
        <v>971</v>
      </c>
    </row>
    <row r="130" spans="3:3" x14ac:dyDescent="0.2">
      <c r="C130" s="54" t="s">
        <v>972</v>
      </c>
    </row>
    <row r="131" spans="3:3" x14ac:dyDescent="0.2">
      <c r="C131" s="54" t="s">
        <v>973</v>
      </c>
    </row>
    <row r="132" spans="3:3" x14ac:dyDescent="0.2">
      <c r="C132" s="54" t="s">
        <v>974</v>
      </c>
    </row>
    <row r="133" spans="3:3" x14ac:dyDescent="0.2">
      <c r="C133" s="54" t="s">
        <v>975</v>
      </c>
    </row>
    <row r="134" spans="3:3" x14ac:dyDescent="0.2">
      <c r="C134" s="54" t="s">
        <v>976</v>
      </c>
    </row>
    <row r="135" spans="3:3" x14ac:dyDescent="0.2">
      <c r="C135" s="54" t="s">
        <v>977</v>
      </c>
    </row>
    <row r="136" spans="3:3" x14ac:dyDescent="0.2">
      <c r="C136" s="54" t="s">
        <v>978</v>
      </c>
    </row>
    <row r="137" spans="3:3" x14ac:dyDescent="0.2">
      <c r="C137" s="54" t="s">
        <v>979</v>
      </c>
    </row>
    <row r="138" spans="3:3" x14ac:dyDescent="0.2">
      <c r="C138" s="54" t="s">
        <v>980</v>
      </c>
    </row>
    <row r="139" spans="3:3" x14ac:dyDescent="0.2">
      <c r="C139" s="54" t="s">
        <v>981</v>
      </c>
    </row>
    <row r="140" spans="3:3" x14ac:dyDescent="0.2">
      <c r="C140" s="54" t="s">
        <v>982</v>
      </c>
    </row>
    <row r="141" spans="3:3" x14ac:dyDescent="0.2">
      <c r="C141" s="54" t="s">
        <v>983</v>
      </c>
    </row>
    <row r="142" spans="3:3" x14ac:dyDescent="0.2">
      <c r="C142" s="54" t="s">
        <v>984</v>
      </c>
    </row>
    <row r="143" spans="3:3" x14ac:dyDescent="0.2">
      <c r="C143" s="54" t="s">
        <v>985</v>
      </c>
    </row>
    <row r="144" spans="3:3" x14ac:dyDescent="0.2">
      <c r="C144" s="54" t="s">
        <v>986</v>
      </c>
    </row>
    <row r="145" spans="3:3" x14ac:dyDescent="0.2">
      <c r="C145" s="54" t="s">
        <v>987</v>
      </c>
    </row>
    <row r="146" spans="3:3" x14ac:dyDescent="0.2">
      <c r="C146" s="54" t="s">
        <v>988</v>
      </c>
    </row>
    <row r="147" spans="3:3" x14ac:dyDescent="0.2">
      <c r="C147" s="54" t="s">
        <v>989</v>
      </c>
    </row>
    <row r="148" spans="3:3" x14ac:dyDescent="0.2">
      <c r="C148" s="54" t="s">
        <v>990</v>
      </c>
    </row>
    <row r="149" spans="3:3" x14ac:dyDescent="0.2">
      <c r="C149" s="54" t="s">
        <v>991</v>
      </c>
    </row>
    <row r="150" spans="3:3" x14ac:dyDescent="0.2">
      <c r="C150" s="54" t="s">
        <v>992</v>
      </c>
    </row>
    <row r="151" spans="3:3" x14ac:dyDescent="0.2">
      <c r="C151" s="54" t="s">
        <v>993</v>
      </c>
    </row>
    <row r="152" spans="3:3" x14ac:dyDescent="0.2">
      <c r="C152" s="54" t="s">
        <v>994</v>
      </c>
    </row>
    <row r="153" spans="3:3" x14ac:dyDescent="0.2">
      <c r="C153" s="54" t="s">
        <v>995</v>
      </c>
    </row>
    <row r="154" spans="3:3" x14ac:dyDescent="0.2">
      <c r="C154" s="54" t="s">
        <v>996</v>
      </c>
    </row>
    <row r="155" spans="3:3" x14ac:dyDescent="0.2">
      <c r="C155" s="54" t="s">
        <v>997</v>
      </c>
    </row>
    <row r="156" spans="3:3" x14ac:dyDescent="0.2">
      <c r="C156" s="54" t="s">
        <v>998</v>
      </c>
    </row>
    <row r="157" spans="3:3" x14ac:dyDescent="0.2">
      <c r="C157" s="54" t="s">
        <v>999</v>
      </c>
    </row>
    <row r="158" spans="3:3" x14ac:dyDescent="0.2">
      <c r="C158" s="54" t="s">
        <v>1000</v>
      </c>
    </row>
    <row r="159" spans="3:3" x14ac:dyDescent="0.2">
      <c r="C159" s="54" t="s">
        <v>1001</v>
      </c>
    </row>
    <row r="160" spans="3:3" x14ac:dyDescent="0.2">
      <c r="C160" s="54" t="s">
        <v>1002</v>
      </c>
    </row>
    <row r="161" spans="3:3" x14ac:dyDescent="0.2">
      <c r="C161" s="54" t="s">
        <v>1003</v>
      </c>
    </row>
    <row r="162" spans="3:3" x14ac:dyDescent="0.2">
      <c r="C162" s="54" t="s">
        <v>1004</v>
      </c>
    </row>
    <row r="163" spans="3:3" x14ac:dyDescent="0.2">
      <c r="C163" s="54" t="s">
        <v>1005</v>
      </c>
    </row>
    <row r="164" spans="3:3" x14ac:dyDescent="0.2">
      <c r="C164" s="54" t="s">
        <v>1006</v>
      </c>
    </row>
    <row r="165" spans="3:3" x14ac:dyDescent="0.2">
      <c r="C165" s="54" t="s">
        <v>1007</v>
      </c>
    </row>
    <row r="166" spans="3:3" x14ac:dyDescent="0.2">
      <c r="C166" s="54" t="s">
        <v>1008</v>
      </c>
    </row>
    <row r="167" spans="3:3" x14ac:dyDescent="0.2">
      <c r="C167" s="54" t="s">
        <v>1009</v>
      </c>
    </row>
    <row r="168" spans="3:3" x14ac:dyDescent="0.2">
      <c r="C168" s="55" t="s">
        <v>1010</v>
      </c>
    </row>
    <row r="169" spans="3:3" x14ac:dyDescent="0.2">
      <c r="C169" s="54" t="s">
        <v>1011</v>
      </c>
    </row>
    <row r="170" spans="3:3" x14ac:dyDescent="0.2">
      <c r="C170" s="54" t="s">
        <v>1012</v>
      </c>
    </row>
    <row r="171" spans="3:3" x14ac:dyDescent="0.2">
      <c r="C171" s="54" t="s">
        <v>1013</v>
      </c>
    </row>
    <row r="172" spans="3:3" x14ac:dyDescent="0.2">
      <c r="C172" s="54" t="s">
        <v>1014</v>
      </c>
    </row>
    <row r="173" spans="3:3" x14ac:dyDescent="0.2">
      <c r="C173" s="54" t="s">
        <v>1015</v>
      </c>
    </row>
    <row r="174" spans="3:3" x14ac:dyDescent="0.2">
      <c r="C174" s="54" t="s">
        <v>1016</v>
      </c>
    </row>
    <row r="175" spans="3:3" x14ac:dyDescent="0.2">
      <c r="C175" s="54" t="s">
        <v>1017</v>
      </c>
    </row>
    <row r="176" spans="3:3" x14ac:dyDescent="0.2">
      <c r="C176" s="54" t="s">
        <v>1018</v>
      </c>
    </row>
    <row r="177" spans="3:3" x14ac:dyDescent="0.2">
      <c r="C177" s="55" t="s">
        <v>1019</v>
      </c>
    </row>
    <row r="178" spans="3:3" x14ac:dyDescent="0.2">
      <c r="C178" s="54" t="s">
        <v>1020</v>
      </c>
    </row>
    <row r="179" spans="3:3" x14ac:dyDescent="0.2">
      <c r="C179" s="54" t="s">
        <v>1021</v>
      </c>
    </row>
    <row r="180" spans="3:3" x14ac:dyDescent="0.2">
      <c r="C180" s="54" t="s">
        <v>1022</v>
      </c>
    </row>
    <row r="181" spans="3:3" x14ac:dyDescent="0.2">
      <c r="C181" s="54" t="s">
        <v>1023</v>
      </c>
    </row>
    <row r="182" spans="3:3" x14ac:dyDescent="0.2">
      <c r="C182" s="54" t="s">
        <v>1024</v>
      </c>
    </row>
    <row r="183" spans="3:3" x14ac:dyDescent="0.2">
      <c r="C183" s="55" t="s">
        <v>1025</v>
      </c>
    </row>
    <row r="184" spans="3:3" x14ac:dyDescent="0.2">
      <c r="C184" s="54" t="s">
        <v>1026</v>
      </c>
    </row>
    <row r="185" spans="3:3" x14ac:dyDescent="0.2">
      <c r="C185" s="54" t="s">
        <v>1027</v>
      </c>
    </row>
    <row r="186" spans="3:3" x14ac:dyDescent="0.2">
      <c r="C186" s="54" t="s">
        <v>1028</v>
      </c>
    </row>
    <row r="187" spans="3:3" x14ac:dyDescent="0.2">
      <c r="C187" s="54" t="s">
        <v>1029</v>
      </c>
    </row>
    <row r="188" spans="3:3" x14ac:dyDescent="0.2">
      <c r="C188" s="54" t="s">
        <v>1030</v>
      </c>
    </row>
    <row r="189" spans="3:3" x14ac:dyDescent="0.2">
      <c r="C189" s="54" t="s">
        <v>1031</v>
      </c>
    </row>
    <row r="190" spans="3:3" x14ac:dyDescent="0.2">
      <c r="C190" s="54" t="s">
        <v>1032</v>
      </c>
    </row>
    <row r="191" spans="3:3" x14ac:dyDescent="0.2">
      <c r="C191" s="54" t="s">
        <v>1033</v>
      </c>
    </row>
    <row r="192" spans="3:3" x14ac:dyDescent="0.2">
      <c r="C192" s="54" t="s">
        <v>1034</v>
      </c>
    </row>
    <row r="193" spans="3:3" x14ac:dyDescent="0.2">
      <c r="C193" s="54" t="s">
        <v>1035</v>
      </c>
    </row>
    <row r="194" spans="3:3" x14ac:dyDescent="0.2">
      <c r="C194" s="54" t="s">
        <v>1036</v>
      </c>
    </row>
    <row r="195" spans="3:3" x14ac:dyDescent="0.2">
      <c r="C195" s="54" t="s">
        <v>1037</v>
      </c>
    </row>
    <row r="196" spans="3:3" x14ac:dyDescent="0.2">
      <c r="C196" s="54" t="s">
        <v>1038</v>
      </c>
    </row>
    <row r="197" spans="3:3" x14ac:dyDescent="0.2">
      <c r="C197" s="54" t="s">
        <v>1039</v>
      </c>
    </row>
    <row r="198" spans="3:3" x14ac:dyDescent="0.2">
      <c r="C198" s="54" t="s">
        <v>1040</v>
      </c>
    </row>
    <row r="199" spans="3:3" x14ac:dyDescent="0.2">
      <c r="C199" s="54" t="s">
        <v>1041</v>
      </c>
    </row>
    <row r="200" spans="3:3" x14ac:dyDescent="0.2">
      <c r="C200" s="54" t="s">
        <v>1042</v>
      </c>
    </row>
    <row r="201" spans="3:3" x14ac:dyDescent="0.2">
      <c r="C201" s="54" t="s">
        <v>1043</v>
      </c>
    </row>
    <row r="202" spans="3:3" x14ac:dyDescent="0.2">
      <c r="C202" s="54" t="s">
        <v>1044</v>
      </c>
    </row>
    <row r="203" spans="3:3" x14ac:dyDescent="0.2">
      <c r="C203" s="54" t="s">
        <v>1045</v>
      </c>
    </row>
    <row r="204" spans="3:3" x14ac:dyDescent="0.2">
      <c r="C204" s="54" t="s">
        <v>1046</v>
      </c>
    </row>
    <row r="205" spans="3:3" x14ac:dyDescent="0.2">
      <c r="C205" s="54" t="s">
        <v>1047</v>
      </c>
    </row>
    <row r="206" spans="3:3" x14ac:dyDescent="0.2">
      <c r="C206" s="54" t="s">
        <v>1048</v>
      </c>
    </row>
    <row r="207" spans="3:3" x14ac:dyDescent="0.2">
      <c r="C207" s="54" t="s">
        <v>1049</v>
      </c>
    </row>
    <row r="208" spans="3:3" x14ac:dyDescent="0.2">
      <c r="C208" s="55" t="s">
        <v>1050</v>
      </c>
    </row>
    <row r="209" spans="3:3" x14ac:dyDescent="0.2">
      <c r="C209" s="54" t="s">
        <v>1051</v>
      </c>
    </row>
    <row r="210" spans="3:3" x14ac:dyDescent="0.2">
      <c r="C210" s="54" t="s">
        <v>1052</v>
      </c>
    </row>
    <row r="211" spans="3:3" x14ac:dyDescent="0.2">
      <c r="C211" s="54" t="s">
        <v>1053</v>
      </c>
    </row>
    <row r="212" spans="3:3" x14ac:dyDescent="0.2">
      <c r="C212" s="54" t="s">
        <v>1054</v>
      </c>
    </row>
    <row r="213" spans="3:3" x14ac:dyDescent="0.2">
      <c r="C213" s="54" t="s">
        <v>1055</v>
      </c>
    </row>
    <row r="214" spans="3:3" x14ac:dyDescent="0.2">
      <c r="C214" s="54" t="s">
        <v>1056</v>
      </c>
    </row>
    <row r="215" spans="3:3" x14ac:dyDescent="0.2">
      <c r="C215" s="54" t="s">
        <v>1057</v>
      </c>
    </row>
    <row r="216" spans="3:3" x14ac:dyDescent="0.2">
      <c r="C216" s="54" t="s">
        <v>1058</v>
      </c>
    </row>
    <row r="217" spans="3:3" x14ac:dyDescent="0.2">
      <c r="C217" s="54" t="s">
        <v>1059</v>
      </c>
    </row>
    <row r="218" spans="3:3" x14ac:dyDescent="0.2">
      <c r="C218" s="54" t="s">
        <v>1060</v>
      </c>
    </row>
    <row r="219" spans="3:3" x14ac:dyDescent="0.2">
      <c r="C219" s="55" t="s">
        <v>1061</v>
      </c>
    </row>
    <row r="220" spans="3:3" x14ac:dyDescent="0.2">
      <c r="C220" s="54" t="s">
        <v>1062</v>
      </c>
    </row>
    <row r="221" spans="3:3" x14ac:dyDescent="0.2">
      <c r="C221" s="54" t="s">
        <v>1063</v>
      </c>
    </row>
    <row r="222" spans="3:3" x14ac:dyDescent="0.2">
      <c r="C222" s="54" t="s">
        <v>1064</v>
      </c>
    </row>
    <row r="223" spans="3:3" x14ac:dyDescent="0.2">
      <c r="C223" s="54" t="s">
        <v>1065</v>
      </c>
    </row>
    <row r="224" spans="3:3" x14ac:dyDescent="0.2">
      <c r="C224" s="55" t="s">
        <v>1066</v>
      </c>
    </row>
    <row r="225" spans="3:3" x14ac:dyDescent="0.2">
      <c r="C225" s="54" t="s">
        <v>1067</v>
      </c>
    </row>
    <row r="226" spans="3:3" x14ac:dyDescent="0.2">
      <c r="C226" s="54" t="s">
        <v>1068</v>
      </c>
    </row>
    <row r="227" spans="3:3" x14ac:dyDescent="0.2">
      <c r="C227" s="54" t="s">
        <v>1069</v>
      </c>
    </row>
    <row r="228" spans="3:3" x14ac:dyDescent="0.2">
      <c r="C228" s="54" t="s">
        <v>1070</v>
      </c>
    </row>
    <row r="229" spans="3:3" x14ac:dyDescent="0.2">
      <c r="C229" s="54" t="s">
        <v>1071</v>
      </c>
    </row>
    <row r="230" spans="3:3" x14ac:dyDescent="0.2">
      <c r="C230" s="54" t="s">
        <v>1072</v>
      </c>
    </row>
    <row r="231" spans="3:3" x14ac:dyDescent="0.2">
      <c r="C231" s="54" t="s">
        <v>1073</v>
      </c>
    </row>
    <row r="232" spans="3:3" x14ac:dyDescent="0.2">
      <c r="C232" s="54" t="s">
        <v>1074</v>
      </c>
    </row>
    <row r="233" spans="3:3" x14ac:dyDescent="0.2">
      <c r="C233" s="54" t="s">
        <v>1075</v>
      </c>
    </row>
    <row r="234" spans="3:3" x14ac:dyDescent="0.2">
      <c r="C234" s="54" t="s">
        <v>1076</v>
      </c>
    </row>
    <row r="235" spans="3:3" x14ac:dyDescent="0.2">
      <c r="C235" s="54" t="s">
        <v>1077</v>
      </c>
    </row>
    <row r="236" spans="3:3" x14ac:dyDescent="0.2">
      <c r="C236" s="54" t="s">
        <v>1078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dimension ref="A1:AN246"/>
  <sheetViews>
    <sheetView topLeftCell="A9" workbookViewId="0">
      <selection activeCell="C4" sqref="C4"/>
    </sheetView>
  </sheetViews>
  <sheetFormatPr defaultRowHeight="12.75" x14ac:dyDescent="0.2"/>
  <cols>
    <col min="1" max="1" width="31.85546875" bestFit="1" customWidth="1"/>
    <col min="2" max="2" width="13.140625" customWidth="1"/>
    <col min="3" max="3" width="18.28515625" customWidth="1"/>
    <col min="5" max="5" width="11" bestFit="1" customWidth="1"/>
    <col min="10" max="17" width="9.5703125" bestFit="1" customWidth="1"/>
  </cols>
  <sheetData>
    <row r="1" spans="1:40" ht="28.5" x14ac:dyDescent="0.45">
      <c r="E1" s="368" t="s">
        <v>1079</v>
      </c>
    </row>
    <row r="2" spans="1:40" x14ac:dyDescent="0.2">
      <c r="G2" s="367" t="s">
        <v>1080</v>
      </c>
    </row>
    <row r="3" spans="1:40" x14ac:dyDescent="0.2">
      <c r="I3" s="373" t="s">
        <v>1081</v>
      </c>
    </row>
    <row r="4" spans="1:40" x14ac:dyDescent="0.2">
      <c r="G4" s="376"/>
    </row>
    <row r="5" spans="1:40" ht="14.25" x14ac:dyDescent="0.2">
      <c r="D5" s="377"/>
      <c r="E5" s="377"/>
      <c r="F5" s="377"/>
      <c r="G5" s="378" t="s">
        <v>1082</v>
      </c>
      <c r="H5" s="377"/>
      <c r="I5" s="377"/>
      <c r="J5" s="377"/>
      <c r="K5" s="377"/>
      <c r="L5" s="377"/>
      <c r="M5" s="377"/>
      <c r="N5" s="377"/>
      <c r="O5" s="377"/>
      <c r="P5" s="377"/>
      <c r="Q5" s="377"/>
    </row>
    <row r="6" spans="1:40" x14ac:dyDescent="0.2">
      <c r="A6" t="s">
        <v>1083</v>
      </c>
      <c r="B6" t="s">
        <v>1084</v>
      </c>
      <c r="D6" s="46">
        <f>IF(+DropINTable!AB11=0,DropINTable!AC11,DropINTable!AB11)</f>
        <v>27000</v>
      </c>
      <c r="E6" s="46">
        <f>IF(+DropINTable!AC11=0,DropINTable!AD11,DropINTable!AC11)</f>
        <v>27000</v>
      </c>
      <c r="F6" s="46">
        <f>IF(+DropINTable!AD11=0,DropINTable!AE11,DropINTable!AD11)</f>
        <v>41000</v>
      </c>
      <c r="G6" s="46">
        <f>IF(+DropINTable!AE11=0,DropINTable!AF11,DropINTable!AE11)</f>
        <v>54000</v>
      </c>
      <c r="H6" s="46">
        <f>IF(+DropINTable!AF11=0,DropINTable!AG11,DropINTable!AF11)</f>
        <v>68000</v>
      </c>
      <c r="I6" s="46">
        <f>IF(+DropINTable!AG11=0,DropINTable!AH11,DropINTable!AG11)</f>
        <v>82000</v>
      </c>
      <c r="J6" s="46">
        <f>IF(+DropINTable!AH11=0,DropINTable!AI11,DropINTable!AH11)</f>
        <v>109000</v>
      </c>
      <c r="K6" s="46">
        <f>IF(+DropINTable!AI11=0,DropINTable!AJ11,DropINTable!AI11)</f>
        <v>136000</v>
      </c>
      <c r="L6" s="46">
        <f>IF(+DropINTable!AJ11=0,DropINTable!AK11,DropINTable!AJ11)</f>
        <v>163000</v>
      </c>
      <c r="M6" s="46">
        <f>IF(+DropINTable!AK11=0,DropINTable!AL11,DropINTable!AK11)</f>
        <v>191000</v>
      </c>
      <c r="N6" s="46">
        <f>IF(+DropINTable!AL11=0,DropINTable!AM11,DropINTable!AL11)</f>
        <v>218000</v>
      </c>
      <c r="O6" s="46">
        <f>IF(+DropINTable!AM11=0,DropINTable!AN11,DropINTable!AM11)</f>
        <v>272000</v>
      </c>
      <c r="P6" s="46">
        <f>IF(+DropINTable!AN11=0,DropINTable!AO11,DropINTable!AN11)</f>
        <v>341000</v>
      </c>
      <c r="Q6" s="46">
        <f>IF(+DropINTable!AO11=0,DropINTable!AP11,DropINTable!AO11)</f>
        <v>409000</v>
      </c>
    </row>
    <row r="7" spans="1:40" x14ac:dyDescent="0.2">
      <c r="D7" s="46" t="str">
        <f>IF(+DropINTable!AB12=0,DropINTable!AC12,DropINTable!AB12)</f>
        <v>or less</v>
      </c>
      <c r="E7" s="46" t="str">
        <f>IF(+DropINTable!AC12=0,DropINTable!AD12,DropINTable!AC12)</f>
        <v>to</v>
      </c>
      <c r="F7" s="46" t="str">
        <f>IF(+DropINTable!AD12=0,DropINTable!AE12,DropINTable!AD12)</f>
        <v>to</v>
      </c>
      <c r="G7" s="46" t="str">
        <f>IF(+DropINTable!AE12=0,DropINTable!AF12,DropINTable!AE12)</f>
        <v>to</v>
      </c>
      <c r="H7" s="46" t="str">
        <f>IF(+DropINTable!AF12=0,DropINTable!AG12,DropINTable!AF12)</f>
        <v>to</v>
      </c>
      <c r="I7" s="46" t="str">
        <f>IF(+DropINTable!AG12=0,DropINTable!AH12,DropINTable!AG12)</f>
        <v>to</v>
      </c>
      <c r="J7" s="46" t="str">
        <f>IF(+DropINTable!AH12=0,DropINTable!AI12,DropINTable!AH12)</f>
        <v>to</v>
      </c>
      <c r="K7" s="46" t="str">
        <f>IF(+DropINTable!AI12=0,DropINTable!AJ12,DropINTable!AI12)</f>
        <v>to</v>
      </c>
      <c r="L7" s="46" t="str">
        <f>IF(+DropINTable!AJ12=0,DropINTable!AK12,DropINTable!AJ12)</f>
        <v>to</v>
      </c>
      <c r="M7" s="46" t="str">
        <f>IF(+DropINTable!AK12=0,DropINTable!AL12,DropINTable!AK12)</f>
        <v>to</v>
      </c>
      <c r="N7" s="46" t="str">
        <f>IF(+DropINTable!AL12=0,DropINTable!AM12,DropINTable!AL12)</f>
        <v>to</v>
      </c>
      <c r="O7" s="46" t="str">
        <f>IF(+DropINTable!AM12=0,DropINTable!AN12,DropINTable!AM12)</f>
        <v>to</v>
      </c>
      <c r="P7" s="46" t="str">
        <f>IF(+DropINTable!AN12=0,DropINTable!AO12,DropINTable!AN12)</f>
        <v>to</v>
      </c>
      <c r="Q7" s="46" t="str">
        <f>IF(+DropINTable!AO12=0,DropINTable!AP12,DropINTable!AO12)</f>
        <v>to</v>
      </c>
    </row>
    <row r="8" spans="1:40" x14ac:dyDescent="0.2">
      <c r="D8" s="46"/>
      <c r="E8" s="46">
        <f>IF(+DropINTable!AC13=0,DropINTable!AD13,DropINTable!AC13)</f>
        <v>41000</v>
      </c>
      <c r="F8" s="46">
        <f>IF(+DropINTable!AD13=0,DropINTable!AE13,DropINTable!AD13)</f>
        <v>54000</v>
      </c>
      <c r="G8" s="46">
        <f>IF(+DropINTable!AE13=0,DropINTable!AF13,DropINTable!AE13)</f>
        <v>68000</v>
      </c>
      <c r="H8" s="46">
        <f>IF(+DropINTable!AF13=0,DropINTable!AG13,DropINTable!AF13)</f>
        <v>82000</v>
      </c>
      <c r="I8" s="46">
        <f>IF(+DropINTable!AG13=0,DropINTable!AH13,DropINTable!AG13)</f>
        <v>109000</v>
      </c>
      <c r="J8" s="46">
        <f>IF(+DropINTable!AH13=0,DropINTable!AI13,DropINTable!AH13)</f>
        <v>136000</v>
      </c>
      <c r="K8" s="46">
        <f>IF(+DropINTable!AI13=0,DropINTable!AJ13,DropINTable!AI13)</f>
        <v>163000</v>
      </c>
      <c r="L8" s="46">
        <f>IF(+DropINTable!AJ13=0,DropINTable!AK13,DropINTable!AJ13)</f>
        <v>191000</v>
      </c>
      <c r="M8" s="46">
        <f>IF(+DropINTable!AK13=0,DropINTable!AL13,DropINTable!AK13)</f>
        <v>218000</v>
      </c>
      <c r="N8" s="46">
        <f>IF(+DropINTable!AL13=0,DropINTable!AM13,DropINTable!AL13)</f>
        <v>272000</v>
      </c>
      <c r="O8" s="46">
        <f>IF(+DropINTable!AM13=0,DropINTable!AN13,DropINTable!AM13)</f>
        <v>341000</v>
      </c>
      <c r="P8" s="46">
        <f>IF(+DropINTable!AN13=0,DropINTable!AO13,DropINTable!AN13)</f>
        <v>409000</v>
      </c>
      <c r="Q8" s="46">
        <f>IF(+DropINTable!AO13=0,DropINTable!AP13,DropINTable!AO13)</f>
        <v>681000</v>
      </c>
    </row>
    <row r="9" spans="1:40" ht="50.25" customHeight="1" x14ac:dyDescent="0.45">
      <c r="A9" s="368" t="s">
        <v>243</v>
      </c>
      <c r="B9" s="368"/>
      <c r="C9" s="368"/>
      <c r="D9" s="46">
        <f>IF(+DropINTable!AB14=0,DropINTable!AC14,DropINTable!AB14)</f>
        <v>0</v>
      </c>
      <c r="E9" s="46">
        <f>+E6</f>
        <v>27000</v>
      </c>
      <c r="F9" s="46">
        <f t="shared" ref="F9:Q9" si="0">+F6</f>
        <v>41000</v>
      </c>
      <c r="G9" s="46">
        <f t="shared" si="0"/>
        <v>54000</v>
      </c>
      <c r="H9" s="46">
        <f t="shared" si="0"/>
        <v>68000</v>
      </c>
      <c r="I9" s="46">
        <f t="shared" si="0"/>
        <v>82000</v>
      </c>
      <c r="J9" s="46">
        <f t="shared" si="0"/>
        <v>109000</v>
      </c>
      <c r="K9" s="46">
        <f t="shared" si="0"/>
        <v>136000</v>
      </c>
      <c r="L9" s="46">
        <f t="shared" si="0"/>
        <v>163000</v>
      </c>
      <c r="M9" s="46">
        <f t="shared" si="0"/>
        <v>191000</v>
      </c>
      <c r="N9" s="46">
        <f t="shared" si="0"/>
        <v>218000</v>
      </c>
      <c r="O9" s="46">
        <f t="shared" si="0"/>
        <v>272000</v>
      </c>
      <c r="P9" s="46">
        <f t="shared" si="0"/>
        <v>341000</v>
      </c>
      <c r="Q9" s="46">
        <f t="shared" si="0"/>
        <v>409000</v>
      </c>
    </row>
    <row r="10" spans="1:40" x14ac:dyDescent="0.2">
      <c r="A10" t="s">
        <v>1085</v>
      </c>
      <c r="B10" s="86" t="s">
        <v>1086</v>
      </c>
      <c r="C10" t="str">
        <f>+CONCATENATE(A$9,B10)</f>
        <v>Australia2+0</v>
      </c>
      <c r="D10" s="46">
        <f>IF(+DropINTable!AB15=0,DropINTable!AC15,DropINTable!AB15)</f>
        <v>623.39132412634933</v>
      </c>
      <c r="E10" s="46">
        <f>IF(+DropINTable!AC15=0,DropINTable!AD15,DropINTable!AC15)</f>
        <v>623.39132412634933</v>
      </c>
      <c r="F10" s="46">
        <f>IF(+DropINTable!AD15=0,DropINTable!AE15,DropINTable!AD15)</f>
        <v>639.69642810008213</v>
      </c>
      <c r="G10" s="46">
        <f>IF(+DropINTable!AE15=0,DropINTable!AF15,DropINTable!AE15)</f>
        <v>663.63034313580499</v>
      </c>
      <c r="H10" s="46">
        <f>IF(+DropINTable!AF15=0,DropINTable!AG15,DropINTable!AF15)</f>
        <v>707.14957645287461</v>
      </c>
      <c r="I10" s="46">
        <f>IF(+DropINTable!AG15=0,DropINTable!AH15,DropINTable!AG15)</f>
        <v>767.25098560479501</v>
      </c>
      <c r="J10" s="46">
        <f>IF(+DropINTable!AH15=0,DropINTable!AI15,DropINTable!AH15)</f>
        <v>854.53837407574485</v>
      </c>
      <c r="K10" s="46">
        <f>IF(+DropINTable!AI15=0,DropINTable!AJ15,DropINTable!AI15)</f>
        <v>928.62948251094986</v>
      </c>
      <c r="L10" s="46">
        <f>IF(+DropINTable!AJ15=0,DropINTable!AK15,DropINTable!AJ15)</f>
        <v>1017.6434839161407</v>
      </c>
      <c r="M10" s="46">
        <f>IF(+DropINTable!AK15=0,DropINTable!AL15,DropINTable!AK15)</f>
        <v>1064.7704831526985</v>
      </c>
      <c r="N10" s="46">
        <f>IF(+DropINTable!AL15=0,DropINTable!AM15,DropINTable!AL15)</f>
        <v>1119.8659485400419</v>
      </c>
      <c r="O10" s="46">
        <f>IF(+DropINTable!AM15=0,DropINTable!AN15,DropINTable!AM15)</f>
        <v>1251.4415163417841</v>
      </c>
      <c r="P10" s="46">
        <f>IF(+DropINTable!AN15=0,DropINTable!AO15,DropINTable!AN15)</f>
        <v>1406.9724497040506</v>
      </c>
      <c r="Q10" s="46">
        <f>IF(+DropINTable!AO15=0,DropINTable!AP15,DropINTable!AO15)</f>
        <v>1444.0438104934062</v>
      </c>
      <c r="S10" s="113"/>
      <c r="T10" s="113"/>
      <c r="U10" s="113"/>
      <c r="V10" s="113"/>
      <c r="W10" s="113"/>
      <c r="X10" s="113"/>
      <c r="Y10" s="113"/>
      <c r="Z10" s="113"/>
      <c r="AA10" s="113"/>
      <c r="AB10" s="113"/>
      <c r="AC10" s="113"/>
      <c r="AD10" s="113"/>
      <c r="AE10" s="113"/>
      <c r="AF10" s="113"/>
      <c r="AG10" s="113"/>
      <c r="AH10" s="113"/>
      <c r="AI10" s="113"/>
      <c r="AJ10" s="113"/>
      <c r="AK10" s="113"/>
      <c r="AL10" s="113"/>
      <c r="AM10" s="113"/>
      <c r="AN10" s="113"/>
    </row>
    <row r="11" spans="1:40" x14ac:dyDescent="0.2">
      <c r="A11" t="s">
        <v>1087</v>
      </c>
      <c r="B11" s="86" t="s">
        <v>1088</v>
      </c>
      <c r="C11" t="str">
        <f>+CONCATENATE(A$9,B11)</f>
        <v>Australia2+1</v>
      </c>
      <c r="D11" s="46">
        <f>+E11</f>
        <v>735.80124082345844</v>
      </c>
      <c r="E11" s="46">
        <f>IF(+DropINTable!AC16=0,DropINTable!AD16,DropINTable!AC16)</f>
        <v>735.80124082345844</v>
      </c>
      <c r="F11" s="46">
        <f>IF(+DropINTable!AD16=0,DropINTable!AE16,DropINTable!AD16)</f>
        <v>735.80124082345844</v>
      </c>
      <c r="G11" s="46">
        <f>IF(+DropINTable!AE16=0,DropINTable!AF16,DropINTable!AE16)</f>
        <v>759.71244278743734</v>
      </c>
      <c r="H11" s="46">
        <f>IF(+DropINTable!AF16=0,DropINTable!AG16,DropINTable!AF16)</f>
        <v>803.19037835163249</v>
      </c>
      <c r="I11" s="46">
        <f>IF(+DropINTable!AG16=0,DropINTable!AH16,DropINTable!AG16)</f>
        <v>863.23475688347708</v>
      </c>
      <c r="J11" s="46">
        <f>IF(+DropINTable!AH16=0,DropINTable!AI16,DropINTable!AH16)</f>
        <v>950.43931371632641</v>
      </c>
      <c r="K11" s="46">
        <f>IF(+DropINTable!AI16=0,DropINTable!AJ16,DropINTable!AI16)</f>
        <v>1024.4601142653664</v>
      </c>
      <c r="L11" s="46">
        <f>IF(+DropINTable!AJ16=0,DropINTable!AK16,DropINTable!AJ16)</f>
        <v>1113.3896443510082</v>
      </c>
      <c r="M11" s="46">
        <f>IF(+DropINTable!AK16=0,DropINTable!AL16,DropINTable!AK16)</f>
        <v>1160.4719261882794</v>
      </c>
      <c r="N11" s="46">
        <f>IF(+DropINTable!AL16=0,DropINTable!AM16,DropINTable!AL16)</f>
        <v>1215.5151076874852</v>
      </c>
      <c r="O11" s="46">
        <f>IF(+DropINTable!AM16=0,DropINTable!AN16,DropINTable!AM16)</f>
        <v>1346.965817762592</v>
      </c>
      <c r="P11" s="46">
        <f>IF(+DropINTable!AN16=0,DropINTable!AO16,DropINTable!AN16)</f>
        <v>1502.3491617638679</v>
      </c>
      <c r="Q11" s="46">
        <f>IF(+DropINTable!AO16=0,DropINTable!AP16,DropINTable!AO16)</f>
        <v>1539.3853430981133</v>
      </c>
      <c r="S11" s="113"/>
      <c r="T11" s="113"/>
      <c r="U11" s="113"/>
      <c r="V11" s="113"/>
      <c r="W11" s="113"/>
      <c r="X11" s="113"/>
      <c r="Y11" s="113"/>
      <c r="Z11" s="113"/>
      <c r="AA11" s="113"/>
      <c r="AB11" s="113"/>
      <c r="AC11" s="113"/>
      <c r="AD11" s="113"/>
      <c r="AE11" s="113"/>
      <c r="AF11" s="113"/>
      <c r="AG11" s="113"/>
      <c r="AH11" s="113"/>
      <c r="AI11" s="113"/>
      <c r="AJ11" s="113"/>
      <c r="AK11" s="113"/>
      <c r="AL11" s="113"/>
      <c r="AM11" s="113"/>
      <c r="AN11" s="113"/>
    </row>
    <row r="12" spans="1:40" x14ac:dyDescent="0.2">
      <c r="A12" t="s">
        <v>1089</v>
      </c>
      <c r="B12" s="86" t="s">
        <v>1090</v>
      </c>
      <c r="C12" t="str">
        <f>+CONCATENATE(A$9,B12)</f>
        <v>Australia2+2</v>
      </c>
      <c r="D12" s="46">
        <f t="shared" ref="D12" si="1">+E12</f>
        <v>813.60502406376827</v>
      </c>
      <c r="E12" s="46">
        <f>IF(+DropINTable!AC17=0,DropINTable!AD17,DropINTable!AC17)</f>
        <v>813.60502406376827</v>
      </c>
      <c r="F12" s="46">
        <f>IF(+DropINTable!AD17=0,DropINTable!AE17,DropINTable!AD17)</f>
        <v>813.60502406376827</v>
      </c>
      <c r="G12" s="46">
        <f>IF(+DropINTable!AE17=0,DropINTable!AF17,DropINTable!AE17)</f>
        <v>837.60939608666047</v>
      </c>
      <c r="H12" s="46">
        <f>IF(+DropINTable!AF17=0,DropINTable!AG17,DropINTable!AF17)</f>
        <v>881.25673850471617</v>
      </c>
      <c r="I12" s="46">
        <f>IF(+DropINTable!AG17=0,DropINTable!AH17,DropINTable!AG17)</f>
        <v>941.53506991582321</v>
      </c>
      <c r="J12" s="46">
        <f>IF(+DropINTable!AH17=0,DropINTable!AI17,DropINTable!AH17)</f>
        <v>1029.0794098415695</v>
      </c>
      <c r="K12" s="46">
        <f>IF(+DropINTable!AI17=0,DropINTable!AJ17,DropINTable!AI17)</f>
        <v>1103.3886235276705</v>
      </c>
      <c r="L12" s="46">
        <f>IF(+DropINTable!AJ17=0,DropINTable!AK17,DropINTable!AJ17)</f>
        <v>1192.6646604350935</v>
      </c>
      <c r="M12" s="46">
        <f>IF(+DropINTable!AK17=0,DropINTable!AL17,DropINTable!AK17)</f>
        <v>1239.9303893881561</v>
      </c>
      <c r="N12" s="46">
        <f>IF(+DropINTable!AL17=0,DropINTable!AM17,DropINTable!AL17)</f>
        <v>1295.1880411236909</v>
      </c>
      <c r="O12" s="46">
        <f>IF(+DropINTable!AM17=0,DropINTable!AN17,DropINTable!AM17)</f>
        <v>1427.1509339709362</v>
      </c>
      <c r="P12" s="46">
        <f>IF(+DropINTable!AN17=0,DropINTable!AO17,DropINTable!AN17)</f>
        <v>1583.1397109256159</v>
      </c>
      <c r="Q12" s="46">
        <f>IF(+DropINTable!AO17=0,DropINTable!AP17,DropINTable!AO17)</f>
        <v>1620.320201039852</v>
      </c>
      <c r="S12" s="113"/>
      <c r="T12" s="113"/>
      <c r="U12" s="113"/>
      <c r="V12" s="113"/>
      <c r="W12" s="113"/>
      <c r="X12" s="113"/>
      <c r="Y12" s="113"/>
      <c r="Z12" s="113"/>
      <c r="AA12" s="113"/>
      <c r="AB12" s="113"/>
      <c r="AC12" s="113"/>
      <c r="AD12" s="113"/>
      <c r="AE12" s="113"/>
      <c r="AF12" s="113"/>
      <c r="AG12" s="113"/>
      <c r="AH12" s="113"/>
      <c r="AI12" s="113"/>
      <c r="AJ12" s="113"/>
      <c r="AK12" s="113"/>
      <c r="AL12" s="113"/>
      <c r="AM12" s="113"/>
      <c r="AN12" s="113"/>
    </row>
    <row r="13" spans="1:40" x14ac:dyDescent="0.2">
      <c r="A13" t="s">
        <v>1091</v>
      </c>
      <c r="B13" s="86" t="s">
        <v>1092</v>
      </c>
      <c r="C13" t="str">
        <f>+CONCATENATE(A$9,B13)</f>
        <v>Australia2+3</v>
      </c>
      <c r="D13" s="46">
        <f>+F13</f>
        <v>903.42676029456754</v>
      </c>
      <c r="E13" s="46">
        <f>+F13</f>
        <v>903.42676029456754</v>
      </c>
      <c r="F13" s="46">
        <f>IF(+DropINTable!AD18=0,DropINTable!AE18,DropINTable!AD18)</f>
        <v>903.42676029456754</v>
      </c>
      <c r="G13" s="46">
        <f>IF(+DropINTable!AE18=0,DropINTable!AF18,DropINTable!AE18)</f>
        <v>903.42676029456754</v>
      </c>
      <c r="H13" s="46">
        <f>IF(+DropINTable!AF18=0,DropINTable!AG18,DropINTable!AF18)</f>
        <v>947.22257529076217</v>
      </c>
      <c r="I13" s="46">
        <f>IF(+DropINTable!AG18=0,DropINTable!AH18,DropINTable!AG18)</f>
        <v>1007.7059534979903</v>
      </c>
      <c r="J13" s="46">
        <f>IF(+DropINTable!AH18=0,DropINTable!AI18,DropINTable!AH18)</f>
        <v>1095.5480889549835</v>
      </c>
      <c r="K13" s="46">
        <f>IF(+DropINTable!AI18=0,DropINTable!AJ18,DropINTable!AI18)</f>
        <v>1170.1100743379557</v>
      </c>
      <c r="L13" s="46">
        <f>IF(+DropINTable!AJ18=0,DropINTable!AK18,DropINTable!AJ18)</f>
        <v>1259.6897946214078</v>
      </c>
      <c r="M13" s="46">
        <f>IF(+DropINTable!AK18=0,DropINTable!AL18,DropINTable!AK18)</f>
        <v>1307.1163053111861</v>
      </c>
      <c r="N13" s="46">
        <f>IF(+DropINTable!AL18=0,DropINTable!AM18,DropINTable!AL18)</f>
        <v>1362.5619225283608</v>
      </c>
      <c r="O13" s="46">
        <f>IF(+DropINTable!AM18=0,DropINTable!AN18,DropINTable!AM18)</f>
        <v>1494.9737079619383</v>
      </c>
      <c r="P13" s="46">
        <f>IF(+DropINTable!AN18=0,DropINTable!AO18,DropINTable!AN18)</f>
        <v>1651.493102344783</v>
      </c>
      <c r="Q13" s="46">
        <f>IF(+DropINTable!AO18=0,DropINTable!AP18,DropINTable!AO18)</f>
        <v>1688.8000682311683</v>
      </c>
      <c r="S13" s="113"/>
      <c r="T13" s="113"/>
      <c r="U13" s="113"/>
      <c r="V13" s="113"/>
      <c r="W13" s="113"/>
      <c r="X13" s="113"/>
      <c r="Y13" s="113"/>
      <c r="Z13" s="113"/>
      <c r="AA13" s="113"/>
      <c r="AB13" s="113"/>
      <c r="AC13" s="113"/>
      <c r="AD13" s="113"/>
      <c r="AE13" s="113"/>
      <c r="AF13" s="113"/>
      <c r="AG13" s="113"/>
      <c r="AH13" s="113"/>
      <c r="AI13" s="113"/>
      <c r="AJ13" s="113"/>
      <c r="AK13" s="113"/>
      <c r="AL13" s="113"/>
      <c r="AM13" s="113"/>
      <c r="AN13" s="113"/>
    </row>
    <row r="14" spans="1:40" x14ac:dyDescent="0.2">
      <c r="B14" s="86" t="s">
        <v>1093</v>
      </c>
      <c r="C14" t="str">
        <f t="shared" ref="C14:C16" si="2">+CONCATENATE(A$9,B14)</f>
        <v>Australia2+4</v>
      </c>
      <c r="D14" s="46">
        <f>+D13+Per_child_accounting!$AD$17</f>
        <v>999.53157301794386</v>
      </c>
      <c r="E14" s="46">
        <f>+E13+Per_child_accounting!$AD$17</f>
        <v>999.53157301794386</v>
      </c>
      <c r="F14" s="46">
        <f>+F13+Per_child_accounting!$AD$17</f>
        <v>999.53157301794386</v>
      </c>
      <c r="G14" s="46">
        <f>+G13+Per_child_accounting!$AE$17</f>
        <v>999.50885994619989</v>
      </c>
      <c r="H14" s="46">
        <f>+H13+Per_child_accounting!$AF$17</f>
        <v>1043.26337718952</v>
      </c>
      <c r="I14" s="46">
        <f>+I13+Per_child_accounting!$AG$17</f>
        <v>1103.6897247766724</v>
      </c>
      <c r="J14" s="46">
        <f>+J13+Per_child_accounting!$AH$17</f>
        <v>1191.4490285955651</v>
      </c>
      <c r="K14" s="46">
        <f>+K13+Per_child_accounting!$AI$17</f>
        <v>1265.9407060923722</v>
      </c>
      <c r="L14" s="46">
        <f>+L13+Per_child_accounting!$AJ$17</f>
        <v>1355.4359550562754</v>
      </c>
      <c r="M14" s="46">
        <f>+M13+Per_child_accounting!$AK$17</f>
        <v>1402.8177483467671</v>
      </c>
      <c r="N14" s="46">
        <f>+N13+Per_child_accounting!$AL$17</f>
        <v>1458.2110816758041</v>
      </c>
      <c r="O14" s="46">
        <f>+O13+Per_child_accounting!$AM$17</f>
        <v>1590.4980093827462</v>
      </c>
      <c r="P14" s="46">
        <f>+P13+Per_child_accounting!$AN$17</f>
        <v>1746.8698144046002</v>
      </c>
      <c r="Q14" s="46">
        <f>+Q13+Per_child_accounting!$AO$17</f>
        <v>1784.1416008358754</v>
      </c>
      <c r="S14" s="113"/>
      <c r="T14" s="113"/>
      <c r="U14" s="113"/>
      <c r="V14" s="113"/>
      <c r="W14" s="113"/>
      <c r="X14" s="113"/>
      <c r="Y14" s="113"/>
      <c r="Z14" s="113"/>
      <c r="AA14" s="113"/>
      <c r="AB14" s="113"/>
      <c r="AC14" s="113"/>
      <c r="AD14" s="113"/>
      <c r="AE14" s="113"/>
      <c r="AF14" s="113"/>
      <c r="AG14" s="113"/>
      <c r="AH14" s="113"/>
      <c r="AI14" s="113"/>
      <c r="AJ14" s="113"/>
      <c r="AK14" s="113"/>
      <c r="AL14" s="113"/>
      <c r="AM14" s="113"/>
      <c r="AN14" s="113"/>
    </row>
    <row r="15" spans="1:40" x14ac:dyDescent="0.2">
      <c r="B15" s="86" t="s">
        <v>1094</v>
      </c>
      <c r="C15" t="str">
        <f t="shared" si="2"/>
        <v>Australia2+5</v>
      </c>
      <c r="D15" s="46">
        <f>+D14+Per_child_accounting!$AD$17</f>
        <v>1095.6363857413203</v>
      </c>
      <c r="E15" s="46">
        <f>+E14+Per_child_accounting!$AD$17</f>
        <v>1095.6363857413203</v>
      </c>
      <c r="F15" s="46">
        <f>+F14+Per_child_accounting!$AD$17</f>
        <v>1095.6363857413203</v>
      </c>
      <c r="G15" s="46">
        <f>+G14+Per_child_accounting!$AE$17</f>
        <v>1095.5909595978324</v>
      </c>
      <c r="H15" s="46">
        <f>+H14+Per_child_accounting!$AF$17</f>
        <v>1139.304179088278</v>
      </c>
      <c r="I15" s="46">
        <f>+I14+Per_child_accounting!$AG$17</f>
        <v>1199.6734960553545</v>
      </c>
      <c r="J15" s="46">
        <f>+J14+Per_child_accounting!$AH$17</f>
        <v>1287.3499682361467</v>
      </c>
      <c r="K15" s="46">
        <f>+K14+Per_child_accounting!$AI$17</f>
        <v>1361.7713378467888</v>
      </c>
      <c r="L15" s="46">
        <f>+L14+Per_child_accounting!$AJ$17</f>
        <v>1451.1821154911429</v>
      </c>
      <c r="M15" s="46">
        <f>+M14+Per_child_accounting!$AK$17</f>
        <v>1498.519191382348</v>
      </c>
      <c r="N15" s="46">
        <f>+N14+Per_child_accounting!$AL$17</f>
        <v>1553.8602408232473</v>
      </c>
      <c r="O15" s="46">
        <f>+O14+Per_child_accounting!$AM$17</f>
        <v>1686.0223108035541</v>
      </c>
      <c r="P15" s="46">
        <f>+P14+Per_child_accounting!$AN$17</f>
        <v>1842.2465264644175</v>
      </c>
      <c r="Q15" s="46">
        <f>+Q14+Per_child_accounting!$AO$17</f>
        <v>1879.4831334405824</v>
      </c>
      <c r="S15" s="113"/>
      <c r="T15" s="113"/>
      <c r="U15" s="113"/>
      <c r="V15" s="113"/>
      <c r="W15" s="113"/>
      <c r="X15" s="113"/>
      <c r="Y15" s="113"/>
      <c r="Z15" s="113"/>
      <c r="AA15" s="113"/>
      <c r="AB15" s="113"/>
      <c r="AC15" s="113"/>
      <c r="AD15" s="113"/>
      <c r="AE15" s="113"/>
      <c r="AF15" s="113"/>
      <c r="AG15" s="113"/>
      <c r="AH15" s="113"/>
      <c r="AI15" s="113"/>
      <c r="AJ15" s="113"/>
      <c r="AK15" s="113"/>
      <c r="AL15" s="113"/>
      <c r="AM15" s="113"/>
      <c r="AN15" s="113"/>
    </row>
    <row r="16" spans="1:40" x14ac:dyDescent="0.2">
      <c r="B16" s="86" t="s">
        <v>1095</v>
      </c>
      <c r="C16" t="str">
        <f t="shared" si="2"/>
        <v>Australia2+6</v>
      </c>
      <c r="D16" s="46">
        <f>+D15+Per_child_accounting!$AD$17</f>
        <v>1191.7411984646965</v>
      </c>
      <c r="E16" s="46">
        <f>+E15+Per_child_accounting!$AD$17</f>
        <v>1191.7411984646965</v>
      </c>
      <c r="F16" s="46">
        <f>+F15+Per_child_accounting!$AD$17</f>
        <v>1191.7411984646965</v>
      </c>
      <c r="G16" s="46">
        <f>+G15+Per_child_accounting!$AE$17</f>
        <v>1191.6730592494646</v>
      </c>
      <c r="H16" s="46">
        <f>+H15+Per_child_accounting!$AF$17</f>
        <v>1235.3449809870358</v>
      </c>
      <c r="I16" s="46">
        <f>+I15+Per_child_accounting!$AG$17</f>
        <v>1295.6572673340365</v>
      </c>
      <c r="J16" s="46">
        <f>+J15+Per_child_accounting!$AH$17</f>
        <v>1383.2509078767282</v>
      </c>
      <c r="K16" s="46">
        <f>+K15+Per_child_accounting!$AI$17</f>
        <v>1457.6019696012054</v>
      </c>
      <c r="L16" s="46">
        <f>+L15+Per_child_accounting!$AJ$17</f>
        <v>1546.9282759260104</v>
      </c>
      <c r="M16" s="46">
        <f>+M15+Per_child_accounting!$AK$17</f>
        <v>1594.220634417929</v>
      </c>
      <c r="N16" s="46">
        <f>+N15+Per_child_accounting!$AL$17</f>
        <v>1649.5093999706905</v>
      </c>
      <c r="O16" s="46">
        <f>+O15+Per_child_accounting!$AM$17</f>
        <v>1781.546612224362</v>
      </c>
      <c r="P16" s="46">
        <f>+P15+Per_child_accounting!$AN$17</f>
        <v>1937.6232385242347</v>
      </c>
      <c r="Q16" s="46">
        <f>+Q15+Per_child_accounting!$AO$17</f>
        <v>1974.8246660452894</v>
      </c>
      <c r="S16" s="113"/>
      <c r="T16" s="113"/>
      <c r="U16" s="113"/>
      <c r="V16" s="113"/>
      <c r="W16" s="113"/>
      <c r="X16" s="113"/>
      <c r="Y16" s="113"/>
      <c r="Z16" s="113"/>
      <c r="AA16" s="113"/>
      <c r="AB16" s="113"/>
      <c r="AC16" s="113"/>
      <c r="AD16" s="113"/>
      <c r="AE16" s="113"/>
      <c r="AF16" s="113"/>
      <c r="AG16" s="113"/>
      <c r="AH16" s="113"/>
      <c r="AI16" s="113"/>
      <c r="AJ16" s="113"/>
      <c r="AK16" s="113"/>
      <c r="AL16" s="113"/>
      <c r="AM16" s="113"/>
      <c r="AN16" s="113"/>
    </row>
    <row r="17" spans="1:40" x14ac:dyDescent="0.2">
      <c r="B17" s="86"/>
      <c r="D17" s="46"/>
      <c r="E17" s="46"/>
      <c r="F17" s="46"/>
      <c r="G17" s="46"/>
      <c r="H17" s="46"/>
      <c r="I17" s="46"/>
      <c r="J17" s="46"/>
      <c r="K17" s="46"/>
      <c r="L17" s="46"/>
      <c r="M17" s="46"/>
      <c r="N17" s="46"/>
      <c r="O17" s="46"/>
      <c r="P17" s="46"/>
      <c r="Q17" s="46"/>
      <c r="S17" s="113"/>
      <c r="T17" s="113"/>
      <c r="U17" s="113"/>
      <c r="V17" s="113"/>
      <c r="W17" s="113"/>
      <c r="X17" s="113"/>
      <c r="Y17" s="113"/>
      <c r="Z17" s="113"/>
      <c r="AA17" s="113"/>
      <c r="AB17" s="113"/>
      <c r="AC17" s="113"/>
      <c r="AD17" s="113"/>
      <c r="AE17" s="113"/>
      <c r="AF17" s="113"/>
      <c r="AG17" s="113"/>
      <c r="AH17" s="113"/>
      <c r="AI17" s="113"/>
      <c r="AJ17" s="113"/>
      <c r="AK17" s="113"/>
      <c r="AL17" s="113"/>
      <c r="AM17" s="113"/>
      <c r="AN17" s="113"/>
    </row>
    <row r="18" spans="1:40" x14ac:dyDescent="0.2">
      <c r="A18" t="s">
        <v>1096</v>
      </c>
      <c r="B18" s="86" t="s">
        <v>1097</v>
      </c>
      <c r="C18" t="str">
        <f>+CONCATENATE(A$9,B18)</f>
        <v>Australia1+0</v>
      </c>
      <c r="D18" s="46">
        <f>IF(+DropINTable!AB20=0,DropINTable!AC20,DropINTable!AB20)</f>
        <v>319.95367492125018</v>
      </c>
      <c r="E18" s="46">
        <f>IF(+DropINTable!AC20=0,DropINTable!AD20,DropINTable!AC20)</f>
        <v>337.09493014794083</v>
      </c>
      <c r="F18" s="46">
        <f>IF(+DropINTable!AD20=0,DropINTable!AE20,DropINTable!AD20)</f>
        <v>353.24325491838357</v>
      </c>
      <c r="G18" s="46">
        <f>IF(+DropINTable!AE20=0,DropINTable!AF20,DropINTable!AE20)</f>
        <v>376.94703715326239</v>
      </c>
      <c r="H18" s="46">
        <f>IF(+DropINTable!AF20=0,DropINTable!AG20,DropINTable!AF20)</f>
        <v>420.047817780755</v>
      </c>
      <c r="I18" s="46">
        <f>IF(+DropINTable!AG20=0,DropINTable!AH20,DropINTable!AG20)</f>
        <v>479.57133183916068</v>
      </c>
      <c r="J18" s="46">
        <f>IF(+DropINTable!AH20=0,DropINTable!AI20,DropINTable!AH20)</f>
        <v>566.01942198658423</v>
      </c>
      <c r="K18" s="46">
        <f>IF(+DropINTable!AI20=0,DropINTable!AJ20,DropINTable!AI20)</f>
        <v>639.39811921506805</v>
      </c>
      <c r="L18" s="46">
        <f>IF(+DropINTable!AJ20=0,DropINTable!AK20,DropINTable!AJ20)</f>
        <v>727.55621934749888</v>
      </c>
      <c r="M18" s="46">
        <f>IF(+DropINTable!AK20=0,DropINTable!AL20,DropINTable!AK20)</f>
        <v>774.23007760877567</v>
      </c>
      <c r="N18" s="46">
        <f>IF(+DropINTable!AL20=0,DropINTable!AM20,DropINTable!AL20)</f>
        <v>828.79578083929698</v>
      </c>
      <c r="O18" s="46">
        <f>IF(+DropINTable!AM20=0,DropINTable!AN20,DropINTable!AM20)</f>
        <v>959.10620498547155</v>
      </c>
      <c r="P18" s="46">
        <f>IF(+DropINTable!AN20=0,DropINTable!AO20,DropINTable!AN20)</f>
        <v>1113.1416546540993</v>
      </c>
      <c r="Q18" s="46">
        <f>IF(+DropINTable!AO20=0,DropINTable!AP20,DropINTable!AO20)</f>
        <v>1149.8565606040008</v>
      </c>
      <c r="S18" s="113"/>
      <c r="T18" s="113"/>
      <c r="U18" s="113"/>
      <c r="V18" s="113"/>
      <c r="W18" s="113"/>
      <c r="X18" s="113"/>
      <c r="Y18" s="113"/>
      <c r="Z18" s="113"/>
      <c r="AA18" s="113"/>
      <c r="AB18" s="113"/>
      <c r="AC18" s="113"/>
      <c r="AD18" s="113"/>
      <c r="AE18" s="113"/>
      <c r="AF18" s="113"/>
      <c r="AG18" s="113"/>
      <c r="AH18" s="113"/>
      <c r="AI18" s="113"/>
      <c r="AJ18" s="113"/>
      <c r="AK18" s="113"/>
      <c r="AL18" s="113"/>
      <c r="AM18" s="113"/>
      <c r="AN18" s="113"/>
    </row>
    <row r="19" spans="1:40" x14ac:dyDescent="0.2">
      <c r="A19" t="s">
        <v>1098</v>
      </c>
      <c r="B19" s="86" t="s">
        <v>1099</v>
      </c>
      <c r="C19" t="str">
        <f>+CONCATENATE(A$9,B19)</f>
        <v>Australia1+1</v>
      </c>
      <c r="D19" s="46">
        <f>IF(+DropINTable!AB21=0,DropINTable!AC21,DropINTable!AB21)</f>
        <v>438.61233996708393</v>
      </c>
      <c r="E19" s="46">
        <f>IF(+DropINTable!AC21=0,DropINTable!AD21,DropINTable!AC21)</f>
        <v>438.61233996708393</v>
      </c>
      <c r="F19" s="46">
        <f>IF(+DropINTable!AD21=0,DropINTable!AE21,DropINTable!AD21)</f>
        <v>454.66012855694038</v>
      </c>
      <c r="G19" s="46">
        <f>IF(+DropINTable!AE21=0,DropINTable!AF21,DropINTable!AE21)</f>
        <v>478.21633880241353</v>
      </c>
      <c r="H19" s="46">
        <f>IF(+DropINTable!AF21=0,DropINTable!AG21,DropINTable!AF21)</f>
        <v>521.04878341082781</v>
      </c>
      <c r="I19" s="46">
        <f>IF(+DropINTable!AG21=0,DropINTable!AH21,DropINTable!AG21)</f>
        <v>580.20171607757629</v>
      </c>
      <c r="J19" s="46">
        <f>IF(+DropINTable!AH21=0,DropINTable!AI21,DropINTable!AH21)</f>
        <v>666.11160318276359</v>
      </c>
      <c r="K19" s="46">
        <f>IF(+DropINTable!AI21=0,DropINTable!AJ21,DropINTable!AI21)</f>
        <v>739.0334601485381</v>
      </c>
      <c r="L19" s="46">
        <f>IF(+DropINTable!AJ21=0,DropINTable!AK21,DropINTable!AJ21)</f>
        <v>826.64271220924047</v>
      </c>
      <c r="M19" s="46">
        <f>IF(+DropINTable!AK21=0,DropINTable!AL21,DropINTable!AK21)</f>
        <v>873.02598818708168</v>
      </c>
      <c r="N19" s="46">
        <f>IF(+DropINTable!AL21=0,DropINTable!AM21,DropINTable!AL21)</f>
        <v>927.25197656798889</v>
      </c>
      <c r="O19" s="46">
        <f>IF(+DropINTable!AM21=0,DropINTable!AN21,DropINTable!AM21)</f>
        <v>1056.7511201164898</v>
      </c>
      <c r="P19" s="46">
        <f>IF(+DropINTable!AN21=0,DropINTable!AO21,DropINTable!AN21)</f>
        <v>1209.8275845073151</v>
      </c>
      <c r="Q19" s="46">
        <f>IF(+DropINTable!AO21=0,DropINTable!AP21,DropINTable!AO21)</f>
        <v>1246.3139104375582</v>
      </c>
      <c r="S19" s="113"/>
      <c r="T19" s="113"/>
      <c r="U19" s="113"/>
      <c r="V19" s="113"/>
      <c r="W19" s="113"/>
      <c r="X19" s="113"/>
      <c r="Y19" s="113"/>
      <c r="Z19" s="113"/>
      <c r="AA19" s="113"/>
      <c r="AB19" s="113"/>
      <c r="AC19" s="113"/>
      <c r="AD19" s="113"/>
      <c r="AE19" s="113"/>
      <c r="AF19" s="113"/>
      <c r="AG19" s="113"/>
      <c r="AH19" s="113"/>
      <c r="AI19" s="113"/>
      <c r="AJ19" s="113"/>
      <c r="AK19" s="113"/>
      <c r="AL19" s="113"/>
      <c r="AM19" s="113"/>
      <c r="AN19" s="113"/>
    </row>
    <row r="20" spans="1:40" x14ac:dyDescent="0.2">
      <c r="A20" t="s">
        <v>1100</v>
      </c>
      <c r="B20" s="86" t="s">
        <v>1101</v>
      </c>
      <c r="C20" t="str">
        <f>+CONCATENATE(A$9,B20)</f>
        <v>Australia1+2</v>
      </c>
      <c r="D20" s="46">
        <f>IF(+DropINTable!AB22=0,DropINTable!AC22,DropINTable!AB22)</f>
        <v>557.15547087948266</v>
      </c>
      <c r="E20" s="46">
        <f>IF(+DropINTable!AC22=0,DropINTable!AD22,DropINTable!AC22)</f>
        <v>557.15547087948266</v>
      </c>
      <c r="F20" s="46">
        <f>IF(+DropINTable!AD22=0,DropINTable!AE22,DropINTable!AD22)</f>
        <v>573.21452468930192</v>
      </c>
      <c r="G20" s="46">
        <f>IF(+DropINTable!AE22=0,DropINTable!AF22,DropINTable!AE22)</f>
        <v>596.78727163904136</v>
      </c>
      <c r="H20" s="46">
        <f>IF(+DropINTable!AF22=0,DropINTable!AG22,DropINTable!AF22)</f>
        <v>639.64978620686941</v>
      </c>
      <c r="I20" s="46">
        <f>IF(+DropINTable!AG22=0,DropINTable!AH22,DropINTable!AG22)</f>
        <v>698.84424394636358</v>
      </c>
      <c r="J20" s="46">
        <f>IF(+DropINTable!AH22=0,DropINTable!AI22,DropINTable!AH22)</f>
        <v>784.81443849420702</v>
      </c>
      <c r="K20" s="46">
        <f>IF(+DropINTable!AI22=0,DropINTable!AJ22,DropINTable!AI22)</f>
        <v>857.78748697871697</v>
      </c>
      <c r="L20" s="46">
        <f>IF(+DropINTable!AJ22=0,DropINTable!AK22,DropINTable!AJ22)</f>
        <v>945.45824185684967</v>
      </c>
      <c r="M20" s="46">
        <f>IF(+DropINTable!AK22=0,DropINTable!AL22,DropINTable!AK22)</f>
        <v>991.87407893034185</v>
      </c>
      <c r="N20" s="46">
        <f>IF(+DropINTable!AL22=0,DropINTable!AM22,DropINTable!AL22)</f>
        <v>1046.1381382973575</v>
      </c>
      <c r="O20" s="46">
        <f>IF(+DropINTable!AM22=0,DropINTable!AN22,DropINTable!AM22)</f>
        <v>1175.7281863140115</v>
      </c>
      <c r="P20" s="46">
        <f>IF(+DropINTable!AN22=0,DropINTable!AO22,DropINTable!AN22)</f>
        <v>1328.9121086048649</v>
      </c>
      <c r="Q20" s="46">
        <f>IF(+DropINTable!AO22=0,DropINTable!AP22,DropINTable!AO22)</f>
        <v>1365.4240547875124</v>
      </c>
      <c r="S20" s="113"/>
      <c r="T20" s="113"/>
      <c r="U20" s="113"/>
      <c r="V20" s="113"/>
      <c r="W20" s="113"/>
      <c r="X20" s="113"/>
      <c r="Y20" s="113"/>
      <c r="Z20" s="113"/>
      <c r="AA20" s="113"/>
      <c r="AB20" s="113"/>
      <c r="AC20" s="113"/>
      <c r="AD20" s="113"/>
      <c r="AE20" s="113"/>
      <c r="AF20" s="113"/>
      <c r="AG20" s="113"/>
      <c r="AH20" s="113"/>
      <c r="AI20" s="113"/>
      <c r="AJ20" s="113"/>
      <c r="AK20" s="113"/>
      <c r="AL20" s="113"/>
      <c r="AM20" s="113"/>
      <c r="AN20" s="113"/>
    </row>
    <row r="21" spans="1:40" x14ac:dyDescent="0.2">
      <c r="A21" t="s">
        <v>1102</v>
      </c>
      <c r="B21" s="86" t="s">
        <v>1103</v>
      </c>
      <c r="C21" t="str">
        <f>+CONCATENATE(A$9,B21)</f>
        <v>Australia1+3</v>
      </c>
      <c r="D21" s="46">
        <f t="shared" ref="D21" si="3">+E21</f>
        <v>691.76892082166341</v>
      </c>
      <c r="E21" s="46">
        <f>IF(+DropINTable!AC23=0,DropINTable!AD23,DropINTable!AC23)</f>
        <v>691.76892082166341</v>
      </c>
      <c r="F21" s="46">
        <f>IF(+DropINTable!AD23=0,DropINTable!AE23,DropINTable!AD23)</f>
        <v>691.76892082166341</v>
      </c>
      <c r="G21" s="46">
        <f>IF(+DropINTable!AE23=0,DropINTable!AF23,DropINTable!AE23)</f>
        <v>715.35820447566925</v>
      </c>
      <c r="H21" s="46">
        <f>IF(+DropINTable!AF23=0,DropINTable!AG23,DropINTable!AF23)</f>
        <v>758.25078900291101</v>
      </c>
      <c r="I21" s="46">
        <f>IF(+DropINTable!AG23=0,DropINTable!AH23,DropINTable!AG23)</f>
        <v>817.48677181515086</v>
      </c>
      <c r="J21" s="46">
        <f>IF(+DropINTable!AH23=0,DropINTable!AI23,DropINTable!AH23)</f>
        <v>903.51727380565046</v>
      </c>
      <c r="K21" s="46">
        <f>IF(+DropINTable!AI23=0,DropINTable!AJ23,DropINTable!AI23)</f>
        <v>976.54151380889584</v>
      </c>
      <c r="L21" s="46">
        <f>IF(+DropINTable!AJ23=0,DropINTable!AK23,DropINTable!AJ23)</f>
        <v>1064.2737715044589</v>
      </c>
      <c r="M21" s="46">
        <f>IF(+DropINTable!AK23=0,DropINTable!AL23,DropINTable!AK23)</f>
        <v>1110.7221696736019</v>
      </c>
      <c r="N21" s="46">
        <f>IF(+DropINTable!AL23=0,DropINTable!AM23,DropINTable!AL23)</f>
        <v>1165.024300026726</v>
      </c>
      <c r="O21" s="46">
        <f>IF(+DropINTable!AM23=0,DropINTable!AN23,DropINTable!AM23)</f>
        <v>1294.7052525115332</v>
      </c>
      <c r="P21" s="46">
        <f>IF(+DropINTable!AN23=0,DropINTable!AO23,DropINTable!AN23)</f>
        <v>1447.9966327024147</v>
      </c>
      <c r="Q21" s="46">
        <f>IF(+DropINTable!AO23=0,DropINTable!AP23,DropINTable!AO23)</f>
        <v>1484.5341991374667</v>
      </c>
      <c r="S21" s="113"/>
      <c r="T21" s="113"/>
      <c r="U21" s="113"/>
      <c r="V21" s="113"/>
      <c r="W21" s="113"/>
      <c r="X21" s="113"/>
      <c r="Y21" s="113"/>
      <c r="Z21" s="113"/>
      <c r="AA21" s="113"/>
      <c r="AB21" s="113"/>
      <c r="AC21" s="113"/>
      <c r="AD21" s="113"/>
      <c r="AE21" s="113"/>
      <c r="AF21" s="113"/>
      <c r="AG21" s="113"/>
      <c r="AH21" s="113"/>
      <c r="AI21" s="113"/>
      <c r="AJ21" s="113"/>
      <c r="AK21" s="113"/>
      <c r="AL21" s="113"/>
      <c r="AM21" s="113"/>
      <c r="AN21" s="113"/>
    </row>
    <row r="22" spans="1:40" x14ac:dyDescent="0.2">
      <c r="B22" s="86" t="s">
        <v>1104</v>
      </c>
      <c r="C22" t="str">
        <f t="shared" ref="C22:C24" si="4">+CONCATENATE(A$9,B22)</f>
        <v>Australia1+4</v>
      </c>
      <c r="D22" s="46">
        <f>+D21+Per_child_accounting!$AD$20</f>
        <v>793.18579446022022</v>
      </c>
      <c r="E22" s="46">
        <f>+E21+Per_child_accounting!$AD$20</f>
        <v>793.18579446022022</v>
      </c>
      <c r="F22" s="46">
        <f>+F21+Per_child_accounting!$AD$20</f>
        <v>793.18579446022022</v>
      </c>
      <c r="G22" s="46">
        <f>+G21+Per_child_accounting!$AE$20</f>
        <v>816.62750612482046</v>
      </c>
      <c r="H22" s="46">
        <f>+H21+Per_child_accounting!$AF$20</f>
        <v>859.25175463298388</v>
      </c>
      <c r="I22" s="46">
        <f>+I21+Per_child_accounting!$AG$20</f>
        <v>918.11715605356653</v>
      </c>
      <c r="J22" s="46">
        <f>+J21+Per_child_accounting!$AH$20</f>
        <v>1003.6094550018298</v>
      </c>
      <c r="K22" s="46">
        <f>+K21+Per_child_accounting!$AI$20</f>
        <v>1076.1768547423658</v>
      </c>
      <c r="L22" s="46">
        <f>+L21+Per_child_accounting!$AJ$20</f>
        <v>1163.3602643662005</v>
      </c>
      <c r="M22" s="46">
        <f>+M21+Per_child_accounting!$AK$20</f>
        <v>1209.518080251908</v>
      </c>
      <c r="N22" s="46">
        <f>+N21+Per_child_accounting!$AL$20</f>
        <v>1263.4804957554179</v>
      </c>
      <c r="O22" s="46">
        <f>+O21+Per_child_accounting!$AM$20</f>
        <v>1392.3501676425515</v>
      </c>
      <c r="P22" s="46">
        <f>+P21+Per_child_accounting!$AN$20</f>
        <v>1544.6825625556305</v>
      </c>
      <c r="Q22" s="46">
        <f>+Q21+Per_child_accounting!$AO$20</f>
        <v>1580.991548971024</v>
      </c>
      <c r="S22" s="113"/>
      <c r="T22" s="113"/>
      <c r="U22" s="113"/>
      <c r="V22" s="113"/>
      <c r="W22" s="113"/>
      <c r="X22" s="113"/>
      <c r="Y22" s="113"/>
      <c r="Z22" s="113"/>
      <c r="AA22" s="113"/>
      <c r="AB22" s="113"/>
      <c r="AC22" s="113"/>
      <c r="AD22" s="113"/>
      <c r="AE22" s="113"/>
      <c r="AF22" s="113"/>
      <c r="AG22" s="113"/>
      <c r="AH22" s="113"/>
      <c r="AI22" s="113"/>
      <c r="AJ22" s="113"/>
      <c r="AK22" s="113"/>
      <c r="AL22" s="113"/>
      <c r="AM22" s="113"/>
      <c r="AN22" s="113"/>
    </row>
    <row r="23" spans="1:40" x14ac:dyDescent="0.2">
      <c r="B23" s="86" t="s">
        <v>1105</v>
      </c>
      <c r="C23" t="str">
        <f t="shared" si="4"/>
        <v>Australia1+5</v>
      </c>
      <c r="D23" s="46">
        <f>+D22+Per_child_accounting!$AD$20</f>
        <v>894.60266809877703</v>
      </c>
      <c r="E23" s="46">
        <f>+E22+Per_child_accounting!$AD$20</f>
        <v>894.60266809877703</v>
      </c>
      <c r="F23" s="46">
        <f>+F22+Per_child_accounting!$AD$20</f>
        <v>894.60266809877703</v>
      </c>
      <c r="G23" s="46">
        <f>+G22+Per_child_accounting!$AE$20</f>
        <v>917.89680777397166</v>
      </c>
      <c r="H23" s="46">
        <f>+H22+Per_child_accounting!$AF$20</f>
        <v>960.25272026305674</v>
      </c>
      <c r="I23" s="46">
        <f>+I22+Per_child_accounting!$AG$20</f>
        <v>1018.7475402919822</v>
      </c>
      <c r="J23" s="46">
        <f>+J22+Per_child_accounting!$AH$20</f>
        <v>1103.7016361980091</v>
      </c>
      <c r="K23" s="46">
        <f>+K22+Per_child_accounting!$AI$20</f>
        <v>1175.8121956758359</v>
      </c>
      <c r="L23" s="46">
        <f>+L22+Per_child_accounting!$AJ$20</f>
        <v>1262.446757227942</v>
      </c>
      <c r="M23" s="46">
        <f>+M22+Per_child_accounting!$AK$20</f>
        <v>1308.3139908302142</v>
      </c>
      <c r="N23" s="46">
        <f>+N22+Per_child_accounting!$AL$20</f>
        <v>1361.9366914841098</v>
      </c>
      <c r="O23" s="46">
        <f>+O22+Per_child_accounting!$AM$20</f>
        <v>1489.9950827735697</v>
      </c>
      <c r="P23" s="46">
        <f>+P22+Per_child_accounting!$AN$20</f>
        <v>1641.3684924088464</v>
      </c>
      <c r="Q23" s="46">
        <f>+Q22+Per_child_accounting!$AO$20</f>
        <v>1677.4488988045814</v>
      </c>
      <c r="S23" s="113"/>
      <c r="T23" s="113"/>
      <c r="U23" s="113"/>
      <c r="V23" s="113"/>
      <c r="W23" s="113"/>
      <c r="X23" s="113"/>
      <c r="Y23" s="113"/>
      <c r="Z23" s="113"/>
      <c r="AA23" s="113"/>
      <c r="AB23" s="113"/>
      <c r="AC23" s="113"/>
      <c r="AD23" s="113"/>
      <c r="AE23" s="113"/>
      <c r="AF23" s="113"/>
      <c r="AG23" s="113"/>
      <c r="AH23" s="113"/>
      <c r="AI23" s="113"/>
      <c r="AJ23" s="113"/>
      <c r="AK23" s="113"/>
      <c r="AL23" s="113"/>
      <c r="AM23" s="113"/>
      <c r="AN23" s="113"/>
    </row>
    <row r="24" spans="1:40" x14ac:dyDescent="0.2">
      <c r="B24" s="86" t="s">
        <v>1106</v>
      </c>
      <c r="C24" t="str">
        <f t="shared" si="4"/>
        <v>Australia1+6</v>
      </c>
      <c r="D24" s="46">
        <f>+D23+Per_child_accounting!$AD$20</f>
        <v>996.01954173733384</v>
      </c>
      <c r="E24" s="46">
        <f>+E23+Per_child_accounting!$AD$20</f>
        <v>996.01954173733384</v>
      </c>
      <c r="F24" s="46">
        <f>+F23+Per_child_accounting!$AD$20</f>
        <v>996.01954173733384</v>
      </c>
      <c r="G24" s="46">
        <f>+G23+Per_child_accounting!$AE$20</f>
        <v>1019.1661094231229</v>
      </c>
      <c r="H24" s="46">
        <f>+H23+Per_child_accounting!$AF$20</f>
        <v>1061.2536858931296</v>
      </c>
      <c r="I24" s="46">
        <f>+I23+Per_child_accounting!$AG$20</f>
        <v>1119.3779245303979</v>
      </c>
      <c r="J24" s="46">
        <f>+J23+Per_child_accounting!$AH$20</f>
        <v>1203.7938173941884</v>
      </c>
      <c r="K24" s="46">
        <f>+K23+Per_child_accounting!$AI$20</f>
        <v>1275.4475366093061</v>
      </c>
      <c r="L24" s="46">
        <f>+L23+Per_child_accounting!$AJ$20</f>
        <v>1361.5332500896836</v>
      </c>
      <c r="M24" s="46">
        <f>+M23+Per_child_accounting!$AK$20</f>
        <v>1407.1099014085203</v>
      </c>
      <c r="N24" s="46">
        <f>+N23+Per_child_accounting!$AL$20</f>
        <v>1460.3928872128017</v>
      </c>
      <c r="O24" s="46">
        <f>+O23+Per_child_accounting!$AM$20</f>
        <v>1587.639997904588</v>
      </c>
      <c r="P24" s="46">
        <f>+P23+Per_child_accounting!$AN$20</f>
        <v>1738.0544222620622</v>
      </c>
      <c r="Q24" s="46">
        <f>+Q23+Per_child_accounting!$AO$20</f>
        <v>1773.9062486381388</v>
      </c>
      <c r="S24" s="113"/>
      <c r="T24" s="113"/>
      <c r="U24" s="113"/>
      <c r="V24" s="113"/>
      <c r="W24" s="113"/>
      <c r="X24" s="113"/>
      <c r="Y24" s="113"/>
      <c r="Z24" s="113"/>
      <c r="AA24" s="113"/>
      <c r="AB24" s="113"/>
      <c r="AC24" s="113"/>
      <c r="AD24" s="113"/>
      <c r="AE24" s="113"/>
      <c r="AF24" s="113"/>
      <c r="AG24" s="113"/>
      <c r="AH24" s="113"/>
      <c r="AI24" s="113"/>
      <c r="AJ24" s="113"/>
      <c r="AK24" s="113"/>
      <c r="AL24" s="113"/>
      <c r="AM24" s="113"/>
      <c r="AN24" s="113"/>
    </row>
    <row r="25" spans="1:40" x14ac:dyDescent="0.2">
      <c r="D25" s="46"/>
      <c r="E25" s="46"/>
      <c r="F25" s="46"/>
      <c r="G25" s="46"/>
      <c r="H25" s="46"/>
      <c r="I25" s="46"/>
      <c r="J25" s="46"/>
      <c r="K25" s="46"/>
      <c r="L25" s="46"/>
      <c r="M25" s="46"/>
      <c r="N25" s="46"/>
      <c r="O25" s="46"/>
      <c r="P25" s="46"/>
      <c r="Q25" s="46"/>
      <c r="S25" s="113"/>
      <c r="T25" s="113"/>
      <c r="U25" s="113"/>
      <c r="V25" s="113"/>
      <c r="W25" s="113"/>
      <c r="X25" s="113"/>
      <c r="Y25" s="113"/>
      <c r="Z25" s="113"/>
      <c r="AA25" s="113"/>
      <c r="AB25" s="113"/>
      <c r="AC25" s="113"/>
      <c r="AD25" s="113"/>
      <c r="AE25" s="113"/>
      <c r="AF25" s="113"/>
      <c r="AG25" s="113"/>
      <c r="AH25" s="113"/>
      <c r="AI25" s="113"/>
      <c r="AJ25" s="113"/>
      <c r="AK25" s="113"/>
      <c r="AL25" s="113"/>
      <c r="AM25" s="113"/>
      <c r="AN25" s="113"/>
    </row>
    <row r="26" spans="1:40" ht="28.5" x14ac:dyDescent="0.45">
      <c r="A26" s="368" t="s">
        <v>231</v>
      </c>
      <c r="B26" s="368"/>
      <c r="C26" s="368"/>
      <c r="D26" s="46"/>
      <c r="E26" s="46"/>
      <c r="F26" s="46"/>
      <c r="G26" s="46"/>
      <c r="H26" s="46"/>
      <c r="I26" s="46"/>
      <c r="J26" s="46"/>
      <c r="K26" s="46"/>
      <c r="L26" s="46"/>
      <c r="M26" s="46"/>
      <c r="N26" s="46"/>
      <c r="O26" s="46"/>
      <c r="P26" s="46"/>
      <c r="Q26" s="46"/>
      <c r="S26" s="113"/>
      <c r="T26" s="113"/>
      <c r="U26" s="113"/>
      <c r="V26" s="113"/>
      <c r="W26" s="113"/>
      <c r="X26" s="113"/>
      <c r="Y26" s="113"/>
      <c r="Z26" s="113"/>
      <c r="AA26" s="113"/>
      <c r="AB26" s="113"/>
      <c r="AC26" s="113"/>
      <c r="AD26" s="113"/>
      <c r="AE26" s="113"/>
      <c r="AF26" s="113"/>
      <c r="AG26" s="113"/>
      <c r="AH26" s="113"/>
      <c r="AI26" s="113"/>
      <c r="AJ26" s="113"/>
      <c r="AK26" s="113"/>
      <c r="AL26" s="113"/>
      <c r="AM26" s="113"/>
      <c r="AN26" s="113"/>
    </row>
    <row r="27" spans="1:40" x14ac:dyDescent="0.2">
      <c r="A27" t="s">
        <v>1085</v>
      </c>
      <c r="B27" s="86" t="s">
        <v>1086</v>
      </c>
      <c r="C27" t="str">
        <f>+CONCATENATE(A$26,B27)</f>
        <v>Sydney2+0</v>
      </c>
      <c r="D27" s="46">
        <f>IF(+DropINTable!AB27=0,DropINTable!AC27,DropINTable!AB27)</f>
        <v>616.28517039522762</v>
      </c>
      <c r="E27" s="46">
        <f>IF(+DropINTable!AC27=0,DropINTable!AD27,DropINTable!AC27)</f>
        <v>616.28517039522762</v>
      </c>
      <c r="F27" s="46">
        <f>IF(+DropINTable!AD27=0,DropINTable!AE27,DropINTable!AD27)</f>
        <v>632.59027464038058</v>
      </c>
      <c r="G27" s="46">
        <f>IF(+DropINTable!AE27=0,DropINTable!AF27,DropINTable!AE27)</f>
        <v>656.52418926287396</v>
      </c>
      <c r="H27" s="46">
        <f>IF(+DropINTable!AF27=0,DropINTable!AG27,DropINTable!AF27)</f>
        <v>700.04342220788442</v>
      </c>
      <c r="I27" s="46">
        <f>IF(+DropINTable!AG27=0,DropINTable!AH27,DropINTable!AG27)</f>
        <v>760.14483222133526</v>
      </c>
      <c r="J27" s="46">
        <f>IF(+DropINTable!AH27=0,DropINTable!AI27,DropINTable!AH27)</f>
        <v>847.43222177491623</v>
      </c>
      <c r="K27" s="46">
        <f>IF(+DropINTable!AI27=0,DropINTable!AJ27,DropINTable!AI27)</f>
        <v>921.52332917628451</v>
      </c>
      <c r="L27" s="46">
        <f>IF(+DropINTable!AJ27=0,DropINTable!AK27,DropINTable!AJ27)</f>
        <v>1010.5373299776417</v>
      </c>
      <c r="M27" s="46">
        <f>IF(+DropINTable!AK27=0,DropINTable!AL27,DropINTable!AK27)</f>
        <v>1057.6643298851261</v>
      </c>
      <c r="N27" s="46">
        <f>IF(+DropINTable!AL27=0,DropINTable!AM27,DropINTable!AL27)</f>
        <v>1112.7597955713366</v>
      </c>
      <c r="O27" s="46">
        <f>IF(+DropINTable!AM27=0,DropINTable!AN27,DropINTable!AM27)</f>
        <v>1244.3353638427268</v>
      </c>
      <c r="P27" s="46">
        <f>IF(+DropINTable!AN27=0,DropINTable!AO27,DropINTable!AN27)</f>
        <v>1399.8662978149264</v>
      </c>
      <c r="Q27" s="46">
        <f>IF(+DropINTable!AO27=0,DropINTable!AP27,DropINTable!AO27)</f>
        <v>1436.9376569574633</v>
      </c>
      <c r="S27" s="113"/>
      <c r="T27" s="113"/>
      <c r="U27" s="113"/>
      <c r="V27" s="113"/>
      <c r="W27" s="113"/>
      <c r="X27" s="113"/>
      <c r="Y27" s="113"/>
      <c r="Z27" s="113"/>
      <c r="AA27" s="113"/>
      <c r="AB27" s="113"/>
      <c r="AC27" s="113"/>
      <c r="AD27" s="113"/>
      <c r="AE27" s="113"/>
      <c r="AF27" s="113"/>
      <c r="AG27" s="113"/>
      <c r="AH27" s="113"/>
      <c r="AI27" s="113"/>
      <c r="AJ27" s="113"/>
      <c r="AK27" s="113"/>
      <c r="AL27" s="113"/>
      <c r="AM27" s="113"/>
      <c r="AN27" s="113"/>
    </row>
    <row r="28" spans="1:40" x14ac:dyDescent="0.2">
      <c r="A28" t="s">
        <v>1087</v>
      </c>
      <c r="B28" s="86" t="s">
        <v>1088</v>
      </c>
      <c r="C28" t="str">
        <f t="shared" ref="C28:C38" si="5">+CONCATENATE(A$26,B28)</f>
        <v>Sydney2+1</v>
      </c>
      <c r="D28" s="46">
        <f t="shared" ref="D28:D29" si="6">+E28</f>
        <v>727.26595872571625</v>
      </c>
      <c r="E28" s="46">
        <f>IF(+DropINTable!AC28=0,DropINTable!AD28,DropINTable!AC28)</f>
        <v>727.26595872571625</v>
      </c>
      <c r="F28" s="46">
        <f>IF(+DropINTable!AD28=0,DropINTable!AE28,DropINTable!AD28)</f>
        <v>727.26595872571625</v>
      </c>
      <c r="G28" s="46">
        <f>IF(+DropINTable!AE28=0,DropINTable!AF28,DropINTable!AE28)</f>
        <v>751.17716264232752</v>
      </c>
      <c r="H28" s="46">
        <f>IF(+DropINTable!AF28=0,DropINTable!AG28,DropINTable!AF28)</f>
        <v>794.65509750445267</v>
      </c>
      <c r="I28" s="46">
        <f>IF(+DropINTable!AG28=0,DropINTable!AH28,DropINTable!AG28)</f>
        <v>854.69947507095083</v>
      </c>
      <c r="J28" s="46">
        <f>IF(+DropINTable!AH28=0,DropINTable!AI28,DropINTable!AH28)</f>
        <v>941.9040312894889</v>
      </c>
      <c r="K28" s="46">
        <f>IF(+DropINTable!AI28=0,DropINTable!AJ28,DropINTable!AI28)</f>
        <v>1015.9248324235871</v>
      </c>
      <c r="L28" s="46">
        <f>IF(+DropINTable!AJ28=0,DropINTable!AK28,DropINTable!AJ28)</f>
        <v>1104.8543630065287</v>
      </c>
      <c r="M28" s="46">
        <f>IF(+DropINTable!AK28=0,DropINTable!AL28,DropINTable!AK28)</f>
        <v>1151.9366432348895</v>
      </c>
      <c r="N28" s="46">
        <f>IF(+DropINTable!AL28=0,DropINTable!AM28,DropINTable!AL28)</f>
        <v>1206.9798264015117</v>
      </c>
      <c r="O28" s="46">
        <f>IF(+DropINTable!AM28=0,DropINTable!AN28,DropINTable!AM28)</f>
        <v>1338.4305363011013</v>
      </c>
      <c r="P28" s="46">
        <f>IF(+DropINTable!AN28=0,DropINTable!AO28,DropINTable!AN28)</f>
        <v>1493.8138789567422</v>
      </c>
      <c r="Q28" s="46">
        <f>IF(+DropINTable!AO28=0,DropINTable!AP28,DropINTable!AO28)</f>
        <v>1530.8500631577742</v>
      </c>
      <c r="S28" s="113"/>
      <c r="T28" s="113"/>
      <c r="U28" s="113"/>
      <c r="V28" s="113"/>
      <c r="W28" s="113"/>
      <c r="X28" s="113"/>
      <c r="Y28" s="113"/>
      <c r="Z28" s="113"/>
      <c r="AA28" s="113"/>
      <c r="AB28" s="113"/>
      <c r="AC28" s="113"/>
      <c r="AD28" s="113"/>
      <c r="AE28" s="113"/>
      <c r="AF28" s="113"/>
      <c r="AG28" s="113"/>
      <c r="AH28" s="113"/>
      <c r="AI28" s="113"/>
      <c r="AJ28" s="113"/>
      <c r="AK28" s="113"/>
      <c r="AL28" s="113"/>
      <c r="AM28" s="113"/>
      <c r="AN28" s="113"/>
    </row>
    <row r="29" spans="1:40" x14ac:dyDescent="0.2">
      <c r="A29" t="s">
        <v>1089</v>
      </c>
      <c r="B29" s="86" t="s">
        <v>1090</v>
      </c>
      <c r="C29" t="str">
        <f t="shared" si="5"/>
        <v>Sydney2+2</v>
      </c>
      <c r="D29" s="46">
        <f t="shared" si="6"/>
        <v>805.54183409863469</v>
      </c>
      <c r="E29" s="46">
        <f>IF(+DropINTable!AC29=0,DropINTable!AD29,DropINTable!AC29)</f>
        <v>805.54183409863469</v>
      </c>
      <c r="F29" s="46">
        <f>IF(+DropINTable!AD29=0,DropINTable!AE29,DropINTable!AD29)</f>
        <v>805.54183409863469</v>
      </c>
      <c r="G29" s="46">
        <f>IF(+DropINTable!AE29=0,DropINTable!AF29,DropINTable!AE29)</f>
        <v>829.54620407775519</v>
      </c>
      <c r="H29" s="46">
        <f>IF(+DropINTable!AF29=0,DropINTable!AG29,DropINTable!AF29)</f>
        <v>873.19354663419108</v>
      </c>
      <c r="I29" s="46">
        <f>IF(+DropINTable!AG29=0,DropINTable!AH29,DropINTable!AG29)</f>
        <v>933.4718802380952</v>
      </c>
      <c r="J29" s="46">
        <f>IF(+DropINTable!AH29=0,DropINTable!AI29,DropINTable!AH29)</f>
        <v>1021.0162202489987</v>
      </c>
      <c r="K29" s="46">
        <f>IF(+DropINTable!AI29=0,DropINTable!AJ29,DropINTable!AI29)</f>
        <v>1095.325433413512</v>
      </c>
      <c r="L29" s="46">
        <f>IF(+DropINTable!AJ29=0,DropINTable!AK29,DropINTable!AJ29)</f>
        <v>1184.6014695545207</v>
      </c>
      <c r="M29" s="46">
        <f>IF(+DropINTable!AK29=0,DropINTable!AL29,DropINTable!AK29)</f>
        <v>1231.8671990611044</v>
      </c>
      <c r="N29" s="46">
        <f>IF(+DropINTable!AL29=0,DropINTable!AM29,DropINTable!AL29)</f>
        <v>1287.124850626325</v>
      </c>
      <c r="O29" s="46">
        <f>IF(+DropINTable!AM29=0,DropINTable!AN29,DropINTable!AM29)</f>
        <v>1419.0877430052062</v>
      </c>
      <c r="P29" s="46">
        <f>IF(+DropINTable!AN29=0,DropINTable!AO29,DropINTable!AN29)</f>
        <v>1575.0765208966147</v>
      </c>
      <c r="Q29" s="46">
        <f>IF(+DropINTable!AO29=0,DropINTable!AP29,DropINTable!AO29)</f>
        <v>1612.2570096483357</v>
      </c>
      <c r="S29" s="113"/>
      <c r="T29" s="113"/>
      <c r="U29" s="113"/>
      <c r="V29" s="113"/>
      <c r="W29" s="113"/>
      <c r="X29" s="113"/>
      <c r="Y29" s="113"/>
      <c r="Z29" s="113"/>
      <c r="AA29" s="113"/>
      <c r="AB29" s="113"/>
      <c r="AC29" s="113"/>
      <c r="AD29" s="113"/>
      <c r="AE29" s="113"/>
      <c r="AF29" s="113"/>
      <c r="AG29" s="113"/>
      <c r="AH29" s="113"/>
      <c r="AI29" s="113"/>
      <c r="AJ29" s="113"/>
      <c r="AK29" s="113"/>
      <c r="AL29" s="113"/>
      <c r="AM29" s="113"/>
      <c r="AN29" s="113"/>
    </row>
    <row r="30" spans="1:40" x14ac:dyDescent="0.2">
      <c r="A30" t="s">
        <v>1091</v>
      </c>
      <c r="B30" s="86" t="s">
        <v>1092</v>
      </c>
      <c r="C30" t="str">
        <f t="shared" si="5"/>
        <v>Sydney2+3</v>
      </c>
      <c r="D30" s="46">
        <f t="shared" ref="D30" si="7">+F30</f>
        <v>898.59512136185811</v>
      </c>
      <c r="E30" s="46">
        <f>+F30</f>
        <v>898.59512136185811</v>
      </c>
      <c r="F30" s="46">
        <f>IF(+DropINTable!AD30=0,DropINTable!AE30,DropINTable!AD30)</f>
        <v>898.59512136185811</v>
      </c>
      <c r="G30" s="46">
        <f>IF(+DropINTable!AE30=0,DropINTable!AF30,DropINTable!AE30)</f>
        <v>898.59512136185811</v>
      </c>
      <c r="H30" s="46">
        <f>IF(+DropINTable!AF30=0,DropINTable!AG30,DropINTable!AF30)</f>
        <v>942.3909369125729</v>
      </c>
      <c r="I30" s="46">
        <f>IF(+DropINTable!AG30=0,DropINTable!AH30,DropINTable!AG30)</f>
        <v>1002.8743147987631</v>
      </c>
      <c r="J30" s="46">
        <f>IF(+DropINTable!AH30=0,DropINTable!AI30,DropINTable!AH30)</f>
        <v>1090.7164486797519</v>
      </c>
      <c r="K30" s="46">
        <f>IF(+DropINTable!AI30=0,DropINTable!AJ30,DropINTable!AI30)</f>
        <v>1165.278436572657</v>
      </c>
      <c r="L30" s="46">
        <f>IF(+DropINTable!AJ30=0,DropINTable!AK30,DropINTable!AJ30)</f>
        <v>1254.8581574398147</v>
      </c>
      <c r="M30" s="46">
        <f>IF(+DropINTable!AK30=0,DropINTable!AL30,DropINTable!AK30)</f>
        <v>1302.2846671372938</v>
      </c>
      <c r="N30" s="46">
        <f>IF(+DropINTable!AL30=0,DropINTable!AM30,DropINTable!AL30)</f>
        <v>1357.7302834789102</v>
      </c>
      <c r="O30" s="46">
        <f>IF(+DropINTable!AM30=0,DropINTable!AN30,DropINTable!AM30)</f>
        <v>1490.1420697296753</v>
      </c>
      <c r="P30" s="46">
        <f>IF(+DropINTable!AN30=0,DropINTable!AO30,DropINTable!AN30)</f>
        <v>1646.6614628283685</v>
      </c>
      <c r="Q30" s="46">
        <f>IF(+DropINTable!AO30=0,DropINTable!AP30,DropINTable!AO30)</f>
        <v>1683.9684250957805</v>
      </c>
      <c r="S30" s="113"/>
      <c r="T30" s="113"/>
      <c r="U30" s="113"/>
      <c r="V30" s="113"/>
      <c r="W30" s="113"/>
      <c r="X30" s="113"/>
      <c r="Y30" s="113"/>
      <c r="Z30" s="113"/>
      <c r="AA30" s="113"/>
      <c r="AB30" s="113"/>
      <c r="AC30" s="113"/>
      <c r="AD30" s="113"/>
      <c r="AE30" s="113"/>
      <c r="AF30" s="113"/>
      <c r="AG30" s="113"/>
      <c r="AH30" s="113"/>
      <c r="AI30" s="113"/>
      <c r="AJ30" s="113"/>
      <c r="AK30" s="113"/>
      <c r="AL30" s="113"/>
      <c r="AM30" s="113"/>
      <c r="AN30" s="113"/>
    </row>
    <row r="31" spans="1:40" x14ac:dyDescent="0.2">
      <c r="B31" s="86" t="s">
        <v>1093</v>
      </c>
      <c r="C31" t="str">
        <f t="shared" ref="C31:C33" si="8">+CONCATENATE(A$26,B31)</f>
        <v>Sydney2+4</v>
      </c>
      <c r="D31" s="46">
        <f>+D30+Per_child_accounting!$AD$25</f>
        <v>993.27080544719377</v>
      </c>
      <c r="E31" s="46">
        <f>+E30+Per_child_accounting!$AD$25</f>
        <v>993.27080544719377</v>
      </c>
      <c r="F31" s="46">
        <f>+F30+Per_child_accounting!$AD$25</f>
        <v>993.27080544719377</v>
      </c>
      <c r="G31" s="46">
        <f>+G30+Per_child_accounting!$AE$25</f>
        <v>993.24809474131166</v>
      </c>
      <c r="H31" s="46">
        <f>+H30+Per_child_accounting!$AF$25</f>
        <v>1037.0026122091413</v>
      </c>
      <c r="I31" s="46">
        <f>+I30+Per_child_accounting!$AG$25</f>
        <v>1097.4289576483786</v>
      </c>
      <c r="J31" s="46">
        <f>+J30+Per_child_accounting!$AH$25</f>
        <v>1185.1882581943246</v>
      </c>
      <c r="K31" s="46">
        <f>+K30+Per_child_accounting!$AI$25</f>
        <v>1259.6799398199596</v>
      </c>
      <c r="L31" s="46">
        <f>+L30+Per_child_accounting!$AJ$25</f>
        <v>1349.1751904687017</v>
      </c>
      <c r="M31" s="46">
        <f>+M30+Per_child_accounting!$AK$25</f>
        <v>1396.5569804870572</v>
      </c>
      <c r="N31" s="46">
        <f>+N30+Per_child_accounting!$AL$25</f>
        <v>1451.9503143090853</v>
      </c>
      <c r="O31" s="46">
        <f>+O30+Per_child_accounting!$AM$25</f>
        <v>1584.2372421880498</v>
      </c>
      <c r="P31" s="46">
        <f>+P30+Per_child_accounting!$AN$25</f>
        <v>1740.6090439701843</v>
      </c>
      <c r="Q31" s="46">
        <f>+Q30+Per_child_accounting!$AO$25</f>
        <v>1777.8808312960914</v>
      </c>
      <c r="S31" s="113"/>
      <c r="T31" s="113"/>
      <c r="U31" s="113"/>
      <c r="V31" s="113"/>
      <c r="W31" s="113"/>
      <c r="X31" s="113"/>
      <c r="Y31" s="113"/>
      <c r="Z31" s="113"/>
      <c r="AA31" s="113"/>
      <c r="AB31" s="113"/>
      <c r="AC31" s="113"/>
      <c r="AD31" s="113"/>
      <c r="AE31" s="113"/>
      <c r="AF31" s="113"/>
      <c r="AG31" s="113"/>
      <c r="AH31" s="113"/>
      <c r="AI31" s="113"/>
      <c r="AJ31" s="113"/>
      <c r="AK31" s="113"/>
      <c r="AL31" s="113"/>
      <c r="AM31" s="113"/>
      <c r="AN31" s="113"/>
    </row>
    <row r="32" spans="1:40" x14ac:dyDescent="0.2">
      <c r="B32" s="86" t="s">
        <v>1094</v>
      </c>
      <c r="C32" t="str">
        <f t="shared" si="8"/>
        <v>Sydney2+5</v>
      </c>
      <c r="D32" s="46">
        <f>+D31+Per_child_accounting!$AD$25</f>
        <v>1087.9464895325295</v>
      </c>
      <c r="E32" s="46">
        <f>+E31+Per_child_accounting!$AD$25</f>
        <v>1087.9464895325295</v>
      </c>
      <c r="F32" s="46">
        <f>+F31+Per_child_accounting!$AD$25</f>
        <v>1087.9464895325295</v>
      </c>
      <c r="G32" s="46">
        <f>+G31+Per_child_accounting!$AE$25</f>
        <v>1087.9010681207651</v>
      </c>
      <c r="H32" s="46">
        <f>+H31+Per_child_accounting!$AF$25</f>
        <v>1131.6142875057094</v>
      </c>
      <c r="I32" s="46">
        <f>+I31+Per_child_accounting!$AG$25</f>
        <v>1191.9836004979943</v>
      </c>
      <c r="J32" s="46">
        <f>+J31+Per_child_accounting!$AH$25</f>
        <v>1279.6600677088973</v>
      </c>
      <c r="K32" s="46">
        <f>+K31+Per_child_accounting!$AI$25</f>
        <v>1354.0814430672622</v>
      </c>
      <c r="L32" s="46">
        <f>+L31+Per_child_accounting!$AJ$25</f>
        <v>1443.4922234975888</v>
      </c>
      <c r="M32" s="46">
        <f>+M31+Per_child_accounting!$AK$25</f>
        <v>1490.8292938368206</v>
      </c>
      <c r="N32" s="46">
        <f>+N31+Per_child_accounting!$AL$25</f>
        <v>1546.1703451392605</v>
      </c>
      <c r="O32" s="46">
        <f>+O31+Per_child_accounting!$AM$25</f>
        <v>1678.3324146464242</v>
      </c>
      <c r="P32" s="46">
        <f>+P31+Per_child_accounting!$AN$25</f>
        <v>1834.5566251120001</v>
      </c>
      <c r="Q32" s="46">
        <f>+Q31+Per_child_accounting!$AO$25</f>
        <v>1871.7932374964023</v>
      </c>
      <c r="S32" s="113"/>
      <c r="T32" s="113"/>
      <c r="U32" s="113"/>
      <c r="V32" s="113"/>
      <c r="W32" s="113"/>
      <c r="X32" s="113"/>
      <c r="Y32" s="113"/>
      <c r="Z32" s="113"/>
      <c r="AA32" s="113"/>
      <c r="AB32" s="113"/>
      <c r="AC32" s="113"/>
      <c r="AD32" s="113"/>
      <c r="AE32" s="113"/>
      <c r="AF32" s="113"/>
      <c r="AG32" s="113"/>
      <c r="AH32" s="113"/>
      <c r="AI32" s="113"/>
      <c r="AJ32" s="113"/>
      <c r="AK32" s="113"/>
      <c r="AL32" s="113"/>
      <c r="AM32" s="113"/>
      <c r="AN32" s="113"/>
    </row>
    <row r="33" spans="1:40" x14ac:dyDescent="0.2">
      <c r="B33" s="86" t="s">
        <v>1095</v>
      </c>
      <c r="C33" t="str">
        <f t="shared" si="8"/>
        <v>Sydney2+6</v>
      </c>
      <c r="D33" s="46">
        <f>+D32+Per_child_accounting!$AD$25</f>
        <v>1182.6221736178652</v>
      </c>
      <c r="E33" s="46">
        <f>+E32+Per_child_accounting!$AD$25</f>
        <v>1182.6221736178652</v>
      </c>
      <c r="F33" s="46">
        <f>+F32+Per_child_accounting!$AD$25</f>
        <v>1182.6221736178652</v>
      </c>
      <c r="G33" s="46">
        <f>+G32+Per_child_accounting!$AE$25</f>
        <v>1182.5540415002188</v>
      </c>
      <c r="H33" s="46">
        <f>+H32+Per_child_accounting!$AF$25</f>
        <v>1226.2259628022775</v>
      </c>
      <c r="I33" s="46">
        <f>+I32+Per_child_accounting!$AG$25</f>
        <v>1286.5382433476098</v>
      </c>
      <c r="J33" s="46">
        <f>+J32+Per_child_accounting!$AH$25</f>
        <v>1374.1318772234699</v>
      </c>
      <c r="K33" s="46">
        <f>+K32+Per_child_accounting!$AI$25</f>
        <v>1448.4829463145647</v>
      </c>
      <c r="L33" s="46">
        <f>+L32+Per_child_accounting!$AJ$25</f>
        <v>1537.809256526476</v>
      </c>
      <c r="M33" s="46">
        <f>+M32+Per_child_accounting!$AK$25</f>
        <v>1585.101607186584</v>
      </c>
      <c r="N33" s="46">
        <f>+N32+Per_child_accounting!$AL$25</f>
        <v>1640.3903759694356</v>
      </c>
      <c r="O33" s="46">
        <f>+O32+Per_child_accounting!$AM$25</f>
        <v>1772.4275871047987</v>
      </c>
      <c r="P33" s="46">
        <f>+P32+Per_child_accounting!$AN$25</f>
        <v>1928.5042062538159</v>
      </c>
      <c r="Q33" s="46">
        <f>+Q32+Per_child_accounting!$AO$25</f>
        <v>1965.7056436967132</v>
      </c>
      <c r="S33" s="113"/>
      <c r="T33" s="113"/>
      <c r="U33" s="113"/>
      <c r="V33" s="113"/>
      <c r="W33" s="113"/>
      <c r="X33" s="113"/>
      <c r="Y33" s="113"/>
      <c r="Z33" s="113"/>
      <c r="AA33" s="113"/>
      <c r="AB33" s="113"/>
      <c r="AC33" s="113"/>
      <c r="AD33" s="113"/>
      <c r="AE33" s="113"/>
      <c r="AF33" s="113"/>
      <c r="AG33" s="113"/>
      <c r="AH33" s="113"/>
      <c r="AI33" s="113"/>
      <c r="AJ33" s="113"/>
      <c r="AK33" s="113"/>
      <c r="AL33" s="113"/>
      <c r="AM33" s="113"/>
      <c r="AN33" s="113"/>
    </row>
    <row r="34" spans="1:40" x14ac:dyDescent="0.2">
      <c r="B34" s="86"/>
      <c r="D34" s="46"/>
      <c r="E34" s="46"/>
      <c r="F34" s="46"/>
      <c r="G34" s="46"/>
      <c r="H34" s="46"/>
      <c r="I34" s="46"/>
      <c r="J34" s="46"/>
      <c r="K34" s="46"/>
      <c r="L34" s="46"/>
      <c r="M34" s="46"/>
      <c r="N34" s="46"/>
      <c r="O34" s="46"/>
      <c r="P34" s="46"/>
      <c r="Q34" s="46"/>
      <c r="S34" s="113"/>
      <c r="T34" s="113"/>
      <c r="U34" s="113"/>
      <c r="V34" s="113"/>
      <c r="W34" s="113"/>
      <c r="X34" s="113"/>
      <c r="Y34" s="113"/>
      <c r="Z34" s="113"/>
      <c r="AA34" s="113"/>
      <c r="AB34" s="113"/>
      <c r="AC34" s="113"/>
      <c r="AD34" s="113"/>
      <c r="AE34" s="113"/>
      <c r="AF34" s="113"/>
      <c r="AG34" s="113"/>
      <c r="AH34" s="113"/>
      <c r="AI34" s="113"/>
      <c r="AJ34" s="113"/>
      <c r="AK34" s="113"/>
      <c r="AL34" s="113"/>
      <c r="AM34" s="113"/>
      <c r="AN34" s="113"/>
    </row>
    <row r="35" spans="1:40" x14ac:dyDescent="0.2">
      <c r="A35" t="s">
        <v>1096</v>
      </c>
      <c r="B35" s="86" t="s">
        <v>1097</v>
      </c>
      <c r="C35" t="str">
        <f t="shared" si="5"/>
        <v>Sydney1+0</v>
      </c>
      <c r="D35" s="46">
        <f>IF(+DropINTable!AB32=0,DropINTable!AC32,DropINTable!AB32)</f>
        <v>312.71429925986797</v>
      </c>
      <c r="E35" s="46">
        <f>IF(+DropINTable!AC32=0,DropINTable!AD32,DropINTable!AC32)</f>
        <v>329.85555488004417</v>
      </c>
      <c r="F35" s="46">
        <f>IF(+DropINTable!AD32=0,DropINTable!AE32,DropINTable!AD32)</f>
        <v>346.00387906194021</v>
      </c>
      <c r="G35" s="46">
        <f>IF(+DropINTable!AE32=0,DropINTable!AF32,DropINTable!AE32)</f>
        <v>369.70766205063813</v>
      </c>
      <c r="H35" s="46">
        <f>IF(+DropINTable!AF32=0,DropINTable!AG32,DropINTable!AF32)</f>
        <v>412.80844234326213</v>
      </c>
      <c r="I35" s="46">
        <f>IF(+DropINTable!AG32=0,DropINTable!AH32,DropINTable!AG32)</f>
        <v>472.33195620578942</v>
      </c>
      <c r="J35" s="46">
        <f>IF(+DropINTable!AH32=0,DropINTable!AI32,DropINTable!AH32)</f>
        <v>558.7800468116518</v>
      </c>
      <c r="K35" s="46">
        <f>IF(+DropINTable!AI32=0,DropINTable!AJ32,DropINTable!AI32)</f>
        <v>632.15874383675543</v>
      </c>
      <c r="L35" s="46">
        <f>IF(+DropINTable!AJ32=0,DropINTable!AK32,DropINTable!AJ32)</f>
        <v>720.3168437591379</v>
      </c>
      <c r="M35" s="46">
        <f>IF(+DropINTable!AK32=0,DropINTable!AL32,DropINTable!AK32)</f>
        <v>766.9907015336363</v>
      </c>
      <c r="N35" s="46">
        <f>IF(+DropINTable!AL32=0,DropINTable!AM32,DropINTable!AL32)</f>
        <v>821.55640516424944</v>
      </c>
      <c r="O35" s="46">
        <f>IF(+DropINTable!AM32=0,DropINTable!AN32,DropINTable!AM32)</f>
        <v>951.8668285835904</v>
      </c>
      <c r="P35" s="46">
        <f>IF(+DropINTable!AN32=0,DropINTable!AO32,DropINTable!AN32)</f>
        <v>1105.9022792391113</v>
      </c>
      <c r="Q35" s="46">
        <f>IF(+DropINTable!AO32=0,DropINTable!AP32,DropINTable!AO32)</f>
        <v>1142.6171860158697</v>
      </c>
      <c r="S35" s="113"/>
      <c r="T35" s="113"/>
      <c r="U35" s="113"/>
      <c r="V35" s="113"/>
      <c r="W35" s="113"/>
      <c r="X35" s="113"/>
      <c r="Y35" s="113"/>
      <c r="Z35" s="113"/>
      <c r="AA35" s="113"/>
      <c r="AB35" s="113"/>
      <c r="AC35" s="113"/>
      <c r="AD35" s="113"/>
      <c r="AE35" s="113"/>
      <c r="AF35" s="113"/>
      <c r="AG35" s="113"/>
      <c r="AH35" s="113"/>
      <c r="AI35" s="113"/>
      <c r="AJ35" s="113"/>
      <c r="AK35" s="113"/>
      <c r="AL35" s="113"/>
      <c r="AM35" s="113"/>
      <c r="AN35" s="113"/>
    </row>
    <row r="36" spans="1:40" x14ac:dyDescent="0.2">
      <c r="A36" t="s">
        <v>1098</v>
      </c>
      <c r="B36" s="86" t="s">
        <v>1099</v>
      </c>
      <c r="C36" t="str">
        <f t="shared" si="5"/>
        <v>Sydney1+1</v>
      </c>
      <c r="D36" s="46">
        <f>IF(+DropINTable!AB33=0,DropINTable!AC33,DropINTable!AB33)</f>
        <v>429.45830404830633</v>
      </c>
      <c r="E36" s="46">
        <f>IF(+DropINTable!AC33=0,DropINTable!AD33,DropINTable!AC33)</f>
        <v>429.45830404830633</v>
      </c>
      <c r="F36" s="46">
        <f>IF(+DropINTable!AD33=0,DropINTable!AE33,DropINTable!AD33)</f>
        <v>445.50609323763439</v>
      </c>
      <c r="G36" s="46">
        <f>IF(+DropINTable!AE33=0,DropINTable!AF33,DropINTable!AE33)</f>
        <v>469.0623023627835</v>
      </c>
      <c r="H36" s="46">
        <f>IF(+DropINTable!AF33=0,DropINTable!AG33,DropINTable!AF33)</f>
        <v>511.89474740360362</v>
      </c>
      <c r="I36" s="46">
        <f>IF(+DropINTable!AG33=0,DropINTable!AH33,DropINTable!AG33)</f>
        <v>571.04768136756923</v>
      </c>
      <c r="J36" s="46">
        <f>IF(+DropINTable!AH33=0,DropINTable!AI33,DropINTable!AH33)</f>
        <v>656.957566625205</v>
      </c>
      <c r="K36" s="46">
        <f>IF(+DropINTable!AI33=0,DropINTable!AJ33,DropINTable!AI33)</f>
        <v>729.87942567438847</v>
      </c>
      <c r="L36" s="46">
        <f>IF(+DropINTable!AJ33=0,DropINTable!AK33,DropINTable!AJ33)</f>
        <v>817.48867557306255</v>
      </c>
      <c r="M36" s="46">
        <f>IF(+DropINTable!AK33=0,DropINTable!AL33,DropINTable!AK33)</f>
        <v>863.87195430257634</v>
      </c>
      <c r="N36" s="46">
        <f>IF(+DropINTable!AL33=0,DropINTable!AM33,DropINTable!AL33)</f>
        <v>918.09794386277201</v>
      </c>
      <c r="O36" s="46">
        <f>IF(+DropINTable!AM33=0,DropINTable!AN33,DropINTable!AM33)</f>
        <v>1047.5970849740772</v>
      </c>
      <c r="P36" s="46">
        <f>IF(+DropINTable!AN33=0,DropINTable!AO33,DropINTable!AN33)</f>
        <v>1200.6735477138989</v>
      </c>
      <c r="Q36" s="46">
        <f>IF(+DropINTable!AO33=0,DropINTable!AP33,DropINTable!AO33)</f>
        <v>1237.1598764744333</v>
      </c>
      <c r="S36" s="113"/>
      <c r="T36" s="113"/>
      <c r="U36" s="113"/>
      <c r="V36" s="113"/>
      <c r="W36" s="113"/>
      <c r="X36" s="113"/>
      <c r="Y36" s="113"/>
      <c r="Z36" s="113"/>
      <c r="AA36" s="113"/>
      <c r="AB36" s="113"/>
      <c r="AC36" s="113"/>
      <c r="AD36" s="113"/>
      <c r="AE36" s="113"/>
      <c r="AF36" s="113"/>
      <c r="AG36" s="113"/>
      <c r="AH36" s="113"/>
      <c r="AI36" s="113"/>
      <c r="AJ36" s="113"/>
      <c r="AK36" s="113"/>
      <c r="AL36" s="113"/>
      <c r="AM36" s="113"/>
      <c r="AN36" s="113"/>
    </row>
    <row r="37" spans="1:40" x14ac:dyDescent="0.2">
      <c r="A37" t="s">
        <v>1100</v>
      </c>
      <c r="B37" s="86" t="s">
        <v>1101</v>
      </c>
      <c r="C37" t="str">
        <f t="shared" si="5"/>
        <v>Sydney1+2</v>
      </c>
      <c r="D37" s="46">
        <f>IF(+DropINTable!AB34=0,DropINTable!AC34,DropINTable!AB34)</f>
        <v>547.20694039213856</v>
      </c>
      <c r="E37" s="46">
        <f>IF(+DropINTable!AC34=0,DropINTable!AD34,DropINTable!AC34)</f>
        <v>547.20694039213856</v>
      </c>
      <c r="F37" s="46">
        <f>IF(+DropINTable!AD34=0,DropINTable!AE34,DropINTable!AD34)</f>
        <v>563.26599674234615</v>
      </c>
      <c r="G37" s="46">
        <f>IF(+DropINTable!AE34=0,DropINTable!AF34,DropINTable!AE34)</f>
        <v>586.8387402094877</v>
      </c>
      <c r="H37" s="46">
        <f>IF(+DropINTable!AF34=0,DropINTable!AG34,DropINTable!AF34)</f>
        <v>629.70125484887603</v>
      </c>
      <c r="I37" s="46">
        <f>IF(+DropINTable!AG34=0,DropINTable!AH34,DropINTable!AG34)</f>
        <v>688.89571430581566</v>
      </c>
      <c r="J37" s="46">
        <f>IF(+DropINTable!AH34=0,DropINTable!AI34,DropINTable!AH34)</f>
        <v>774.86591128670705</v>
      </c>
      <c r="K37" s="46">
        <f>IF(+DropINTable!AI34=0,DropINTable!AJ34,DropINTable!AI34)</f>
        <v>847.83895938956232</v>
      </c>
      <c r="L37" s="46">
        <f>IF(+DropINTable!AJ34=0,DropINTable!AK34,DropINTable!AJ34)</f>
        <v>935.5097109282176</v>
      </c>
      <c r="M37" s="46">
        <f>IF(+DropINTable!AK34=0,DropINTable!AL34,DropINTable!AK34)</f>
        <v>981.92555143660081</v>
      </c>
      <c r="N37" s="46">
        <f>IF(+DropINTable!AL34=0,DropINTable!AM34,DropINTable!AL34)</f>
        <v>1036.1896051742115</v>
      </c>
      <c r="O37" s="46">
        <f>IF(+DropINTable!AM34=0,DropINTable!AN34,DropINTable!AM34)</f>
        <v>1165.7796546220702</v>
      </c>
      <c r="P37" s="46">
        <f>IF(+DropINTable!AN34=0,DropINTable!AO34,DropINTable!AN34)</f>
        <v>1318.9635811111241</v>
      </c>
      <c r="Q37" s="46">
        <f>IF(+DropINTable!AO34=0,DropINTable!AP34,DropINTable!AO34)</f>
        <v>1355.4755232863984</v>
      </c>
      <c r="S37" s="113"/>
      <c r="T37" s="113"/>
      <c r="U37" s="113"/>
      <c r="V37" s="113"/>
      <c r="W37" s="113"/>
      <c r="X37" s="113"/>
      <c r="Y37" s="113"/>
      <c r="Z37" s="113"/>
      <c r="AA37" s="113"/>
      <c r="AB37" s="113"/>
      <c r="AC37" s="113"/>
      <c r="AD37" s="113"/>
      <c r="AE37" s="113"/>
      <c r="AF37" s="113"/>
      <c r="AG37" s="113"/>
      <c r="AH37" s="113"/>
      <c r="AI37" s="113"/>
      <c r="AJ37" s="113"/>
      <c r="AK37" s="113"/>
      <c r="AL37" s="113"/>
      <c r="AM37" s="113"/>
      <c r="AN37" s="113"/>
    </row>
    <row r="38" spans="1:40" x14ac:dyDescent="0.2">
      <c r="A38" t="s">
        <v>1102</v>
      </c>
      <c r="B38" s="86" t="s">
        <v>1103</v>
      </c>
      <c r="C38" t="str">
        <f t="shared" si="5"/>
        <v>Sydney1+3</v>
      </c>
      <c r="D38" s="46">
        <f t="shared" ref="D38" si="9">+E38</f>
        <v>681.02590024705796</v>
      </c>
      <c r="E38" s="46">
        <f>IF(+DropINTable!AC35=0,DropINTable!AD35,DropINTable!AC35)</f>
        <v>681.02590024705796</v>
      </c>
      <c r="F38" s="46">
        <f>IF(+DropINTable!AD35=0,DropINTable!AE35,DropINTable!AD35)</f>
        <v>681.02590024705796</v>
      </c>
      <c r="G38" s="46">
        <f>IF(+DropINTable!AE35=0,DropINTable!AF35,DropINTable!AE35)</f>
        <v>704.61517805619189</v>
      </c>
      <c r="H38" s="46">
        <f>IF(+DropINTable!AF35=0,DropINTable!AG35,DropINTable!AF35)</f>
        <v>747.50776229414851</v>
      </c>
      <c r="I38" s="46">
        <f>IF(+DropINTable!AG35=0,DropINTable!AH35,DropINTable!AG35)</f>
        <v>806.74374724406209</v>
      </c>
      <c r="J38" s="46">
        <f>IF(+DropINTable!AH35=0,DropINTable!AI35,DropINTable!AH35)</f>
        <v>892.77425594820909</v>
      </c>
      <c r="K38" s="46">
        <f>IF(+DropINTable!AI35=0,DropINTable!AJ35,DropINTable!AI35)</f>
        <v>965.79849310473617</v>
      </c>
      <c r="L38" s="46">
        <f>IF(+DropINTable!AJ35=0,DropINTable!AK35,DropINTable!AJ35)</f>
        <v>1053.5307462833725</v>
      </c>
      <c r="M38" s="46">
        <f>IF(+DropINTable!AK35=0,DropINTable!AL35,DropINTable!AK35)</f>
        <v>1099.9791485706253</v>
      </c>
      <c r="N38" s="46">
        <f>IF(+DropINTable!AL35=0,DropINTable!AM35,DropINTable!AL35)</f>
        <v>1154.281266485651</v>
      </c>
      <c r="O38" s="46">
        <f>IF(+DropINTable!AM35=0,DropINTable!AN35,DropINTable!AM35)</f>
        <v>1283.9622242700632</v>
      </c>
      <c r="P38" s="46">
        <f>IF(+DropINTable!AN35=0,DropINTable!AO35,DropINTable!AN35)</f>
        <v>1437.2536145083493</v>
      </c>
      <c r="Q38" s="46">
        <f>IF(+DropINTable!AO35=0,DropINTable!AP35,DropINTable!AO35)</f>
        <v>1473.7911700983634</v>
      </c>
      <c r="S38" s="113"/>
      <c r="T38" s="113"/>
      <c r="U38" s="113"/>
      <c r="V38" s="113"/>
      <c r="W38" s="113"/>
      <c r="X38" s="113"/>
      <c r="Y38" s="113"/>
      <c r="Z38" s="113"/>
      <c r="AA38" s="113"/>
      <c r="AB38" s="113"/>
      <c r="AC38" s="113"/>
      <c r="AD38" s="113"/>
      <c r="AE38" s="113"/>
      <c r="AF38" s="113"/>
      <c r="AG38" s="113"/>
      <c r="AH38" s="113"/>
      <c r="AI38" s="113"/>
      <c r="AJ38" s="113"/>
      <c r="AK38" s="113"/>
      <c r="AL38" s="113"/>
      <c r="AM38" s="113"/>
      <c r="AN38" s="113"/>
    </row>
    <row r="39" spans="1:40" x14ac:dyDescent="0.2">
      <c r="B39" s="86" t="s">
        <v>1104</v>
      </c>
      <c r="C39" t="str">
        <f t="shared" ref="C39:C41" si="10">+CONCATENATE(A$26,B39)</f>
        <v>Sydney1+4</v>
      </c>
      <c r="D39" s="46">
        <f>+D38+Per_child_accounting!$AD$28</f>
        <v>780.5281144227522</v>
      </c>
      <c r="E39" s="46">
        <f>+E38+Per_child_accounting!$AD$28</f>
        <v>780.5281144227522</v>
      </c>
      <c r="F39" s="46">
        <f>+F38+Per_child_accounting!$AD$28</f>
        <v>780.5281144227522</v>
      </c>
      <c r="G39" s="46">
        <f>+G38+Per_child_accounting!$AE$28</f>
        <v>803.9698183683372</v>
      </c>
      <c r="H39" s="46">
        <f>+H38+Per_child_accounting!$AF$28</f>
        <v>846.59406735448999</v>
      </c>
      <c r="I39" s="46">
        <f>+I38+Per_child_accounting!$AG$28</f>
        <v>905.45947240584189</v>
      </c>
      <c r="J39" s="46">
        <f>+J38+Per_child_accounting!$AH$28</f>
        <v>990.95177576176229</v>
      </c>
      <c r="K39" s="46">
        <f>+K38+Per_child_accounting!$AI$28</f>
        <v>1063.5191749423693</v>
      </c>
      <c r="L39" s="46">
        <f>+L38+Per_child_accounting!$AJ$28</f>
        <v>1150.7025780972972</v>
      </c>
      <c r="M39" s="46">
        <f>+M38+Per_child_accounting!$AK$28</f>
        <v>1196.8604013395652</v>
      </c>
      <c r="N39" s="46">
        <f>+N38+Per_child_accounting!$AL$28</f>
        <v>1250.8228051841736</v>
      </c>
      <c r="O39" s="46">
        <f>+O38+Per_child_accounting!$AM$28</f>
        <v>1379.69248066055</v>
      </c>
      <c r="P39" s="46">
        <f>+P38+Per_child_accounting!$AN$28</f>
        <v>1532.0248829831369</v>
      </c>
      <c r="Q39" s="46">
        <f>+Q38+Per_child_accounting!$AO$28</f>
        <v>1568.333860556927</v>
      </c>
      <c r="S39" s="113"/>
      <c r="T39" s="113"/>
      <c r="U39" s="113"/>
      <c r="V39" s="113"/>
      <c r="W39" s="113"/>
      <c r="X39" s="113"/>
      <c r="Y39" s="113"/>
      <c r="Z39" s="113"/>
      <c r="AA39" s="113"/>
      <c r="AB39" s="113"/>
      <c r="AC39" s="113"/>
      <c r="AD39" s="113"/>
      <c r="AE39" s="113"/>
      <c r="AF39" s="113"/>
      <c r="AG39" s="113"/>
      <c r="AH39" s="113"/>
      <c r="AI39" s="113"/>
      <c r="AJ39" s="113"/>
      <c r="AK39" s="113"/>
      <c r="AL39" s="113"/>
      <c r="AM39" s="113"/>
      <c r="AN39" s="113"/>
    </row>
    <row r="40" spans="1:40" x14ac:dyDescent="0.2">
      <c r="B40" s="86" t="s">
        <v>1105</v>
      </c>
      <c r="C40" t="str">
        <f t="shared" si="10"/>
        <v>Sydney1+5</v>
      </c>
      <c r="D40" s="46">
        <f>+D39+Per_child_accounting!$AD$28</f>
        <v>880.03032859844643</v>
      </c>
      <c r="E40" s="46">
        <f>+E39+Per_child_accounting!$AD$28</f>
        <v>880.03032859844643</v>
      </c>
      <c r="F40" s="46">
        <f>+F39+Per_child_accounting!$AD$28</f>
        <v>880.03032859844643</v>
      </c>
      <c r="G40" s="46">
        <f>+G39+Per_child_accounting!$AE$28</f>
        <v>903.32445868048262</v>
      </c>
      <c r="H40" s="46">
        <f>+H39+Per_child_accounting!$AF$28</f>
        <v>945.68037241483148</v>
      </c>
      <c r="I40" s="46">
        <f>+I39+Per_child_accounting!$AG$28</f>
        <v>1004.1751975676217</v>
      </c>
      <c r="J40" s="46">
        <f>+J39+Per_child_accounting!$AH$28</f>
        <v>1089.1292955753156</v>
      </c>
      <c r="K40" s="46">
        <f>+K39+Per_child_accounting!$AI$28</f>
        <v>1161.2398567800024</v>
      </c>
      <c r="L40" s="46">
        <f>+L39+Per_child_accounting!$AJ$28</f>
        <v>1247.8744099112218</v>
      </c>
      <c r="M40" s="46">
        <f>+M39+Per_child_accounting!$AK$28</f>
        <v>1293.7416541085054</v>
      </c>
      <c r="N40" s="46">
        <f>+N39+Per_child_accounting!$AL$28</f>
        <v>1347.3643438826962</v>
      </c>
      <c r="O40" s="46">
        <f>+O39+Per_child_accounting!$AM$28</f>
        <v>1475.4227370510368</v>
      </c>
      <c r="P40" s="46">
        <f>+P39+Per_child_accounting!$AN$28</f>
        <v>1626.7961514579245</v>
      </c>
      <c r="Q40" s="46">
        <f>+Q39+Per_child_accounting!$AO$28</f>
        <v>1662.8765510154906</v>
      </c>
      <c r="S40" s="113"/>
      <c r="T40" s="113"/>
      <c r="U40" s="113"/>
      <c r="V40" s="113"/>
      <c r="W40" s="113"/>
      <c r="X40" s="113"/>
      <c r="Y40" s="113"/>
      <c r="Z40" s="113"/>
      <c r="AA40" s="113"/>
      <c r="AB40" s="113"/>
      <c r="AC40" s="113"/>
      <c r="AD40" s="113"/>
      <c r="AE40" s="113"/>
      <c r="AF40" s="113"/>
      <c r="AG40" s="113"/>
      <c r="AH40" s="113"/>
      <c r="AI40" s="113"/>
      <c r="AJ40" s="113"/>
      <c r="AK40" s="113"/>
      <c r="AL40" s="113"/>
      <c r="AM40" s="113"/>
      <c r="AN40" s="113"/>
    </row>
    <row r="41" spans="1:40" x14ac:dyDescent="0.2">
      <c r="B41" s="86" t="s">
        <v>1106</v>
      </c>
      <c r="C41" t="str">
        <f t="shared" si="10"/>
        <v>Sydney1+6</v>
      </c>
      <c r="D41" s="46">
        <f>+D40+Per_child_accounting!$AD$28</f>
        <v>979.53254277414067</v>
      </c>
      <c r="E41" s="46">
        <f>+E40+Per_child_accounting!$AD$28</f>
        <v>979.53254277414067</v>
      </c>
      <c r="F41" s="46">
        <f>+F40+Per_child_accounting!$AD$28</f>
        <v>979.53254277414067</v>
      </c>
      <c r="G41" s="46">
        <f>+G40+Per_child_accounting!$AE$28</f>
        <v>1002.679098992628</v>
      </c>
      <c r="H41" s="46">
        <f>+H40+Per_child_accounting!$AF$28</f>
        <v>1044.7666774751729</v>
      </c>
      <c r="I41" s="46">
        <f>+I40+Per_child_accounting!$AG$28</f>
        <v>1102.8909227294016</v>
      </c>
      <c r="J41" s="46">
        <f>+J40+Per_child_accounting!$AH$28</f>
        <v>1187.3068153888689</v>
      </c>
      <c r="K41" s="46">
        <f>+K40+Per_child_accounting!$AI$28</f>
        <v>1258.9605386176354</v>
      </c>
      <c r="L41" s="46">
        <f>+L40+Per_child_accounting!$AJ$28</f>
        <v>1345.0462417251465</v>
      </c>
      <c r="M41" s="46">
        <f>+M40+Per_child_accounting!$AK$28</f>
        <v>1390.6229068774455</v>
      </c>
      <c r="N41" s="46">
        <f>+N40+Per_child_accounting!$AL$28</f>
        <v>1443.9058825812187</v>
      </c>
      <c r="O41" s="46">
        <f>+O40+Per_child_accounting!$AM$28</f>
        <v>1571.1529934415237</v>
      </c>
      <c r="P41" s="46">
        <f>+P40+Per_child_accounting!$AN$28</f>
        <v>1721.567419932712</v>
      </c>
      <c r="Q41" s="46">
        <f>+Q40+Per_child_accounting!$AO$28</f>
        <v>1757.4192414740542</v>
      </c>
      <c r="S41" s="113"/>
      <c r="T41" s="113"/>
      <c r="U41" s="113"/>
      <c r="V41" s="113"/>
      <c r="W41" s="113"/>
      <c r="X41" s="113"/>
      <c r="Y41" s="113"/>
      <c r="Z41" s="113"/>
      <c r="AA41" s="113"/>
      <c r="AB41" s="113"/>
      <c r="AC41" s="113"/>
      <c r="AD41" s="113"/>
      <c r="AE41" s="113"/>
      <c r="AF41" s="113"/>
      <c r="AG41" s="113"/>
      <c r="AH41" s="113"/>
      <c r="AI41" s="113"/>
      <c r="AJ41" s="113"/>
      <c r="AK41" s="113"/>
      <c r="AL41" s="113"/>
      <c r="AM41" s="113"/>
      <c r="AN41" s="113"/>
    </row>
    <row r="42" spans="1:40" x14ac:dyDescent="0.2">
      <c r="D42" s="46"/>
      <c r="E42" s="46"/>
      <c r="F42" s="46"/>
      <c r="G42" s="46"/>
      <c r="H42" s="46"/>
      <c r="I42" s="46"/>
      <c r="J42" s="46"/>
      <c r="K42" s="46"/>
      <c r="L42" s="46"/>
      <c r="M42" s="46"/>
      <c r="N42" s="46"/>
      <c r="O42" s="46"/>
      <c r="P42" s="46"/>
      <c r="Q42" s="46"/>
      <c r="S42" s="113"/>
      <c r="T42" s="113"/>
      <c r="U42" s="113"/>
      <c r="V42" s="113"/>
      <c r="W42" s="113"/>
      <c r="X42" s="113"/>
      <c r="Y42" s="113"/>
      <c r="Z42" s="113"/>
      <c r="AA42" s="113"/>
      <c r="AB42" s="113"/>
      <c r="AC42" s="113"/>
      <c r="AD42" s="113"/>
      <c r="AE42" s="113"/>
      <c r="AF42" s="113"/>
      <c r="AG42" s="113"/>
      <c r="AH42" s="113"/>
      <c r="AI42" s="113"/>
      <c r="AJ42" s="113"/>
      <c r="AK42" s="113"/>
      <c r="AL42" s="113"/>
      <c r="AM42" s="113"/>
      <c r="AN42" s="113"/>
    </row>
    <row r="43" spans="1:40" x14ac:dyDescent="0.2">
      <c r="D43" s="46"/>
      <c r="E43" s="46"/>
      <c r="F43" s="46"/>
      <c r="G43" s="46"/>
      <c r="H43" s="46"/>
      <c r="I43" s="46"/>
      <c r="J43" s="46"/>
      <c r="K43" s="46"/>
      <c r="L43" s="46"/>
      <c r="M43" s="46"/>
      <c r="N43" s="46"/>
      <c r="O43" s="46"/>
      <c r="P43" s="46"/>
      <c r="Q43" s="46"/>
      <c r="S43" s="113"/>
      <c r="T43" s="113"/>
      <c r="U43" s="113"/>
      <c r="V43" s="113"/>
      <c r="W43" s="113"/>
      <c r="X43" s="113"/>
      <c r="Y43" s="113"/>
      <c r="Z43" s="113"/>
      <c r="AA43" s="113"/>
      <c r="AB43" s="113"/>
      <c r="AC43" s="113"/>
      <c r="AD43" s="113"/>
      <c r="AE43" s="113"/>
      <c r="AF43" s="113"/>
      <c r="AG43" s="113"/>
      <c r="AH43" s="113"/>
      <c r="AI43" s="113"/>
      <c r="AJ43" s="113"/>
      <c r="AK43" s="113"/>
      <c r="AL43" s="113"/>
      <c r="AM43" s="113"/>
      <c r="AN43" s="113"/>
    </row>
    <row r="44" spans="1:40" ht="28.5" x14ac:dyDescent="0.45">
      <c r="A44" s="368" t="s">
        <v>238</v>
      </c>
      <c r="B44" s="368"/>
      <c r="C44" s="368"/>
      <c r="D44" s="46"/>
      <c r="E44" s="46"/>
      <c r="F44" s="46"/>
      <c r="G44" s="46"/>
      <c r="H44" s="46"/>
      <c r="I44" s="46"/>
      <c r="J44" s="46"/>
      <c r="K44" s="46"/>
      <c r="L44" s="46"/>
      <c r="M44" s="46"/>
      <c r="N44" s="46"/>
      <c r="O44" s="46"/>
      <c r="P44" s="46"/>
      <c r="Q44" s="46"/>
      <c r="S44" s="113"/>
      <c r="T44" s="113"/>
      <c r="U44" s="113"/>
      <c r="V44" s="113"/>
      <c r="W44" s="113"/>
      <c r="X44" s="113"/>
      <c r="Y44" s="113"/>
      <c r="Z44" s="113"/>
      <c r="AA44" s="113"/>
      <c r="AB44" s="113"/>
      <c r="AC44" s="113"/>
      <c r="AD44" s="113"/>
      <c r="AE44" s="113"/>
      <c r="AF44" s="113"/>
      <c r="AG44" s="113"/>
      <c r="AH44" s="113"/>
      <c r="AI44" s="113"/>
      <c r="AJ44" s="113"/>
      <c r="AK44" s="113"/>
      <c r="AL44" s="113"/>
      <c r="AM44" s="113"/>
      <c r="AN44" s="113"/>
    </row>
    <row r="45" spans="1:40" x14ac:dyDescent="0.2">
      <c r="A45" t="s">
        <v>1085</v>
      </c>
      <c r="B45" s="86" t="s">
        <v>1086</v>
      </c>
      <c r="C45" t="str">
        <f>+CONCATENATE(A$44,B45)</f>
        <v>Balance of NSW2+0</v>
      </c>
      <c r="D45" s="46">
        <f>IF(+DropINTable!AB39=0,DropINTable!AC39,DropINTable!AB39)</f>
        <v>636.5749508786057</v>
      </c>
      <c r="E45" s="46">
        <f>IF(+DropINTable!AC39=0,DropINTable!AD39,DropINTable!AC39)</f>
        <v>636.5749508786057</v>
      </c>
      <c r="F45" s="46">
        <f>IF(+DropINTable!AD39=0,DropINTable!AE39,DropINTable!AD39)</f>
        <v>652.88005438802702</v>
      </c>
      <c r="G45" s="46">
        <f>IF(+DropINTable!AE39=0,DropINTable!AF39,DropINTable!AE39)</f>
        <v>676.81396993914336</v>
      </c>
      <c r="H45" s="46">
        <f>IF(+DropINTable!AF39=0,DropINTable!AG39,DropINTable!AF39)</f>
        <v>720.3332033050076</v>
      </c>
      <c r="I45" s="46">
        <f>IF(+DropINTable!AG39=0,DropINTable!AH39,DropINTable!AG39)</f>
        <v>780.43461219008236</v>
      </c>
      <c r="J45" s="46">
        <f>IF(+DropINTable!AH39=0,DropINTable!AI39,DropINTable!AH39)</f>
        <v>867.72200045670468</v>
      </c>
      <c r="K45" s="46">
        <f>IF(+DropINTable!AI39=0,DropINTable!AJ39,DropINTable!AI39)</f>
        <v>941.81310919687598</v>
      </c>
      <c r="L45" s="46">
        <f>IF(+DropINTable!AJ39=0,DropINTable!AK39,DropINTable!AJ39)</f>
        <v>1030.82711066306</v>
      </c>
      <c r="M45" s="46">
        <f>IF(+DropINTable!AK39=0,DropINTable!AL39,DropINTable!AK39)</f>
        <v>1077.9541100338035</v>
      </c>
      <c r="N45" s="46">
        <f>IF(+DropINTable!AL39=0,DropINTable!AM39,DropINTable!AL39)</f>
        <v>1133.0495739939033</v>
      </c>
      <c r="O45" s="46">
        <f>IF(+DropINTable!AM39=0,DropINTable!AN39,DropINTable!AM39)</f>
        <v>1264.6251434119679</v>
      </c>
      <c r="P45" s="46">
        <f>IF(+DropINTable!AN39=0,DropINTable!AO39,DropINTable!AN39)</f>
        <v>1420.1560769450159</v>
      </c>
      <c r="Q45" s="46">
        <f>IF(+DropINTable!AO39=0,DropINTable!AP39,DropINTable!AO39)</f>
        <v>1457.2274363071283</v>
      </c>
      <c r="R45" s="46"/>
      <c r="S45" s="113"/>
      <c r="T45" s="113"/>
      <c r="U45" s="113"/>
      <c r="V45" s="113"/>
      <c r="W45" s="113"/>
      <c r="X45" s="113"/>
      <c r="Y45" s="113"/>
      <c r="Z45" s="113"/>
      <c r="AA45" s="113"/>
      <c r="AB45" s="113"/>
      <c r="AC45" s="113"/>
      <c r="AD45" s="113"/>
      <c r="AE45" s="113"/>
      <c r="AF45" s="113"/>
      <c r="AG45" s="113"/>
      <c r="AH45" s="113"/>
      <c r="AI45" s="113"/>
      <c r="AJ45" s="113"/>
      <c r="AK45" s="113"/>
      <c r="AL45" s="113"/>
      <c r="AM45" s="113"/>
      <c r="AN45" s="113"/>
    </row>
    <row r="46" spans="1:40" x14ac:dyDescent="0.2">
      <c r="A46" t="s">
        <v>1087</v>
      </c>
      <c r="B46" s="86" t="s">
        <v>1088</v>
      </c>
      <c r="C46" t="str">
        <f t="shared" ref="C46:C56" si="11">+CONCATENATE(A$44,B46)</f>
        <v>Balance of NSW2+1</v>
      </c>
      <c r="D46" s="46">
        <f t="shared" ref="D46:D47" si="12">+E46</f>
        <v>747.53648536069522</v>
      </c>
      <c r="E46" s="46">
        <f>IF(+DropINTable!AC40=0,DropINTable!AD40,DropINTable!AC40)</f>
        <v>747.53648536069522</v>
      </c>
      <c r="F46" s="46">
        <f>IF(+DropINTable!AD40=0,DropINTable!AE40,DropINTable!AD40)</f>
        <v>747.53648536069522</v>
      </c>
      <c r="G46" s="46">
        <f>IF(+DropINTable!AE40=0,DropINTable!AF40,DropINTable!AE40)</f>
        <v>771.44768702483145</v>
      </c>
      <c r="H46" s="46">
        <f>IF(+DropINTable!AF40=0,DropINTable!AG40,DropINTable!AF40)</f>
        <v>814.92562247201511</v>
      </c>
      <c r="I46" s="46">
        <f>IF(+DropINTable!AG40=0,DropINTable!AH40,DropINTable!AG40)</f>
        <v>874.9700002579101</v>
      </c>
      <c r="J46" s="46">
        <f>IF(+DropINTable!AH40=0,DropINTable!AI40,DropINTable!AH40)</f>
        <v>962.17455979665476</v>
      </c>
      <c r="K46" s="46">
        <f>IF(+DropINTable!AI40=0,DropINTable!AJ40,DropINTable!AI40)</f>
        <v>1036.1953578591961</v>
      </c>
      <c r="L46" s="46">
        <f>IF(+DropINTable!AJ40=0,DropINTable!AK40,DropINTable!AJ40)</f>
        <v>1125.1248905483483</v>
      </c>
      <c r="M46" s="46">
        <f>IF(+DropINTable!AK40=0,DropINTable!AL40,DropINTable!AK40)</f>
        <v>1172.2071702794092</v>
      </c>
      <c r="N46" s="46">
        <f>IF(+DropINTable!AL40=0,DropINTable!AM40,DropINTable!AL40)</f>
        <v>1227.2503489995877</v>
      </c>
      <c r="O46" s="46">
        <f>IF(+DropINTable!AM40=0,DropINTable!AN40,DropINTable!AM40)</f>
        <v>1358.7010633456209</v>
      </c>
      <c r="P46" s="46">
        <f>IF(+DropINTable!AN40=0,DropINTable!AO40,DropINTable!AN40)</f>
        <v>1514.0844074054019</v>
      </c>
      <c r="Q46" s="46">
        <f>IF(+DropINTable!AO40=0,DropINTable!AP40,DropINTable!AO40)</f>
        <v>1551.1205845272273</v>
      </c>
      <c r="R46" s="46"/>
      <c r="S46" s="113"/>
      <c r="T46" s="113"/>
      <c r="U46" s="113"/>
      <c r="V46" s="113"/>
      <c r="W46" s="113"/>
      <c r="X46" s="113"/>
      <c r="Y46" s="113"/>
      <c r="Z46" s="113"/>
      <c r="AA46" s="113"/>
      <c r="AB46" s="113"/>
      <c r="AC46" s="113"/>
      <c r="AD46" s="113"/>
      <c r="AE46" s="113"/>
      <c r="AF46" s="113"/>
      <c r="AG46" s="113"/>
      <c r="AH46" s="113"/>
      <c r="AI46" s="113"/>
      <c r="AJ46" s="113"/>
      <c r="AK46" s="113"/>
      <c r="AL46" s="113"/>
      <c r="AM46" s="113"/>
      <c r="AN46" s="113"/>
    </row>
    <row r="47" spans="1:40" x14ac:dyDescent="0.2">
      <c r="A47" t="s">
        <v>1089</v>
      </c>
      <c r="B47" s="86" t="s">
        <v>1090</v>
      </c>
      <c r="C47" t="str">
        <f t="shared" si="11"/>
        <v>Balance of NSW2+2</v>
      </c>
      <c r="D47" s="46">
        <f t="shared" si="12"/>
        <v>825.89134191201424</v>
      </c>
      <c r="E47" s="46">
        <f>IF(+DropINTable!AC41=0,DropINTable!AD41,DropINTable!AC41)</f>
        <v>825.89134191201424</v>
      </c>
      <c r="F47" s="46">
        <f>IF(+DropINTable!AD41=0,DropINTable!AE41,DropINTable!AD41)</f>
        <v>825.89134191201424</v>
      </c>
      <c r="G47" s="46">
        <f>IF(+DropINTable!AE41=0,DropINTable!AF41,DropINTable!AE41)</f>
        <v>849.89571316849219</v>
      </c>
      <c r="H47" s="46">
        <f>IF(+DropINTable!AF41=0,DropINTable!AG41,DropINTable!AF41)</f>
        <v>893.54305461256274</v>
      </c>
      <c r="I47" s="46">
        <f>IF(+DropINTable!AG41=0,DropINTable!AH41,DropINTable!AG41)</f>
        <v>953.82138820582213</v>
      </c>
      <c r="J47" s="46">
        <f>IF(+DropINTable!AH41=0,DropINTable!AI41,DropINTable!AH41)</f>
        <v>1041.3657271841951</v>
      </c>
      <c r="K47" s="46">
        <f>IF(+DropINTable!AI41=0,DropINTable!AJ41,DropINTable!AI41)</f>
        <v>1115.6749414770409</v>
      </c>
      <c r="L47" s="46">
        <f>IF(+DropINTable!AJ41=0,DropINTable!AK41,DropINTable!AJ41)</f>
        <v>1204.9509768303453</v>
      </c>
      <c r="M47" s="46">
        <f>IF(+DropINTable!AK41=0,DropINTable!AL41,DropINTable!AK41)</f>
        <v>1252.2167057408292</v>
      </c>
      <c r="N47" s="46">
        <f>IF(+DropINTable!AL41=0,DropINTable!AM41,DropINTable!AL41)</f>
        <v>1307.4743586685647</v>
      </c>
      <c r="O47" s="46">
        <f>IF(+DropINTable!AM41=0,DropINTable!AN41,DropINTable!AM41)</f>
        <v>1439.4372520054637</v>
      </c>
      <c r="P47" s="46">
        <f>IF(+DropINTable!AN41=0,DropINTable!AO41,DropINTable!AN41)</f>
        <v>1595.4260285343573</v>
      </c>
      <c r="Q47" s="46">
        <f>IF(+DropINTable!AO41=0,DropINTable!AP41,DropINTable!AO41)</f>
        <v>1632.6065182228076</v>
      </c>
      <c r="R47" s="46"/>
      <c r="S47" s="113"/>
      <c r="T47" s="113"/>
      <c r="U47" s="113"/>
      <c r="V47" s="113"/>
      <c r="W47" s="113"/>
      <c r="X47" s="113"/>
      <c r="Y47" s="113"/>
      <c r="Z47" s="113"/>
      <c r="AA47" s="113"/>
      <c r="AB47" s="113"/>
      <c r="AC47" s="113"/>
      <c r="AD47" s="113"/>
      <c r="AE47" s="113"/>
      <c r="AF47" s="113"/>
      <c r="AG47" s="113"/>
      <c r="AH47" s="113"/>
      <c r="AI47" s="113"/>
      <c r="AJ47" s="113"/>
      <c r="AK47" s="113"/>
      <c r="AL47" s="113"/>
      <c r="AM47" s="113"/>
      <c r="AN47" s="113"/>
    </row>
    <row r="48" spans="1:40" x14ac:dyDescent="0.2">
      <c r="A48" t="s">
        <v>1091</v>
      </c>
      <c r="B48" s="86" t="s">
        <v>1092</v>
      </c>
      <c r="C48" t="str">
        <f t="shared" ref="C48:C50" si="13">+CONCATENATE(A$44,B48)</f>
        <v>Balance of NSW2+3</v>
      </c>
      <c r="D48" s="46">
        <f t="shared" ref="D48" si="14">+F48</f>
        <v>919.01385133618169</v>
      </c>
      <c r="E48" s="46">
        <f>+F48</f>
        <v>919.01385133618169</v>
      </c>
      <c r="F48" s="46">
        <f>IF(+DropINTable!AD42=0,DropINTable!AE42,DropINTable!AD42)</f>
        <v>919.01385133618169</v>
      </c>
      <c r="G48" s="46">
        <f>IF(+DropINTable!AE42=0,DropINTable!AF42,DropINTable!AE42)</f>
        <v>919.01385133618169</v>
      </c>
      <c r="H48" s="46">
        <f>IF(+DropINTable!AF42=0,DropINTable!AG42,DropINTable!AF42)</f>
        <v>962.80966691608182</v>
      </c>
      <c r="I48" s="46">
        <f>IF(+DropINTable!AG42=0,DropINTable!AH42,DropINTable!AG42)</f>
        <v>1023.2930454151626</v>
      </c>
      <c r="J48" s="46">
        <f>IF(+DropINTable!AH42=0,DropINTable!AI42,DropINTable!AH42)</f>
        <v>1111.1351785081492</v>
      </c>
      <c r="K48" s="46">
        <f>IF(+DropINTable!AI42=0,DropINTable!AJ42,DropINTable!AI42)</f>
        <v>1185.6971670431303</v>
      </c>
      <c r="L48" s="46">
        <f>IF(+DropINTable!AJ42=0,DropINTable!AK42,DropINTable!AJ42)</f>
        <v>1275.2768852252434</v>
      </c>
      <c r="M48" s="46">
        <f>IF(+DropINTable!AK42=0,DropINTable!AL42,DropINTable!AK42)</f>
        <v>1322.7033963236152</v>
      </c>
      <c r="N48" s="46">
        <f>IF(+DropINTable!AL42=0,DropINTable!AM42,DropINTable!AL42)</f>
        <v>1378.1490160507226</v>
      </c>
      <c r="O48" s="46">
        <f>IF(+DropINTable!AM42=0,DropINTable!AN42,DropINTable!AM42)</f>
        <v>1510.5607978069568</v>
      </c>
      <c r="P48" s="46">
        <f>IF(+DropINTable!AN42=0,DropINTable!AO42,DropINTable!AN42)</f>
        <v>1667.0801912558729</v>
      </c>
      <c r="Q48" s="46">
        <f>IF(+DropINTable!AO42=0,DropINTable!AP42,DropINTable!AO42)</f>
        <v>1704.3871543404725</v>
      </c>
      <c r="R48" s="46"/>
      <c r="S48" s="113"/>
      <c r="T48" s="113"/>
      <c r="U48" s="113"/>
      <c r="V48" s="113"/>
      <c r="W48" s="113"/>
      <c r="X48" s="113"/>
      <c r="Y48" s="113"/>
      <c r="Z48" s="113"/>
      <c r="AA48" s="113"/>
      <c r="AB48" s="113"/>
      <c r="AC48" s="113"/>
      <c r="AD48" s="113"/>
      <c r="AE48" s="113"/>
      <c r="AF48" s="113"/>
      <c r="AG48" s="113"/>
      <c r="AH48" s="113"/>
      <c r="AI48" s="113"/>
      <c r="AJ48" s="113"/>
      <c r="AK48" s="113"/>
      <c r="AL48" s="113"/>
      <c r="AM48" s="113"/>
      <c r="AN48" s="113"/>
    </row>
    <row r="49" spans="1:40" x14ac:dyDescent="0.2">
      <c r="B49" s="86" t="s">
        <v>1093</v>
      </c>
      <c r="C49" t="str">
        <f t="shared" si="13"/>
        <v>Balance of NSW2+4</v>
      </c>
      <c r="D49" s="46">
        <f>+D48+Per_child_accounting!$AD$33</f>
        <v>1013.6702823088499</v>
      </c>
      <c r="E49" s="46">
        <f>+E48+Per_child_accounting!$AD$33</f>
        <v>1013.6702823088499</v>
      </c>
      <c r="F49" s="46">
        <f>+F48+Per_child_accounting!AD$33</f>
        <v>1013.6702823088499</v>
      </c>
      <c r="G49" s="46">
        <f>+G48+Per_child_accounting!AE$33</f>
        <v>1013.6475684218698</v>
      </c>
      <c r="H49" s="46">
        <f>+H48+Per_child_accounting!AF$33</f>
        <v>1057.4020860830892</v>
      </c>
      <c r="I49" s="46">
        <f>+I48+Per_child_accounting!AG$33</f>
        <v>1117.8284334829905</v>
      </c>
      <c r="J49" s="46">
        <f>+J48+Per_child_accounting!AH$33</f>
        <v>1205.5877378480993</v>
      </c>
      <c r="K49" s="46">
        <f>+K48+Per_child_accounting!AI$33</f>
        <v>1280.0794157054504</v>
      </c>
      <c r="L49" s="46">
        <f>+L48+Per_child_accounting!AJ$33</f>
        <v>1369.5746651105317</v>
      </c>
      <c r="M49" s="46">
        <f>+M48+Per_child_accounting!AK$33</f>
        <v>1416.9564565692208</v>
      </c>
      <c r="N49" s="46">
        <f>+N48+Per_child_accounting!AL$33</f>
        <v>1472.349791056407</v>
      </c>
      <c r="O49" s="46">
        <f>+O48+Per_child_accounting!AM$33</f>
        <v>1604.6367177406098</v>
      </c>
      <c r="P49" s="46">
        <f>+P48+Per_child_accounting!AN$33</f>
        <v>1761.0085217162589</v>
      </c>
      <c r="Q49" s="46">
        <f>+Q48+Per_child_accounting!AO$33</f>
        <v>1798.2803025605715</v>
      </c>
      <c r="R49" s="46"/>
      <c r="S49" s="113"/>
      <c r="T49" s="113"/>
      <c r="U49" s="113"/>
      <c r="V49" s="113"/>
      <c r="W49" s="113"/>
      <c r="X49" s="113"/>
      <c r="Y49" s="113"/>
      <c r="Z49" s="113"/>
      <c r="AA49" s="113"/>
      <c r="AB49" s="113"/>
      <c r="AC49" s="113"/>
      <c r="AD49" s="113"/>
      <c r="AE49" s="113"/>
      <c r="AF49" s="113"/>
      <c r="AG49" s="113"/>
      <c r="AH49" s="113"/>
      <c r="AI49" s="113"/>
      <c r="AJ49" s="113"/>
      <c r="AK49" s="113"/>
      <c r="AL49" s="113"/>
      <c r="AM49" s="113"/>
      <c r="AN49" s="113"/>
    </row>
    <row r="50" spans="1:40" x14ac:dyDescent="0.2">
      <c r="B50" s="86" t="s">
        <v>1094</v>
      </c>
      <c r="C50" t="str">
        <f t="shared" si="13"/>
        <v>Balance of NSW2+5</v>
      </c>
      <c r="D50" s="46">
        <f>+D49+Per_child_accounting!$AD$33</f>
        <v>1108.3267132815181</v>
      </c>
      <c r="E50" s="46">
        <f>+E49+Per_child_accounting!$AD$33</f>
        <v>1108.3267132815181</v>
      </c>
      <c r="F50" s="46">
        <f>+F49+Per_child_accounting!$AD$33</f>
        <v>1108.3267132815181</v>
      </c>
      <c r="G50" s="46">
        <f>+G49+Per_child_accounting!AE$33</f>
        <v>1108.2812855075579</v>
      </c>
      <c r="H50" s="46">
        <f>+H49+Per_child_accounting!AF$33</f>
        <v>1151.9945052500966</v>
      </c>
      <c r="I50" s="46">
        <f>+I49+Per_child_accounting!AG$33</f>
        <v>1212.3638215508181</v>
      </c>
      <c r="J50" s="46">
        <f>+J49+Per_child_accounting!AH$33</f>
        <v>1300.0402971880494</v>
      </c>
      <c r="K50" s="46">
        <f>+K49+Per_child_accounting!AI$33</f>
        <v>1374.4616643677705</v>
      </c>
      <c r="L50" s="46">
        <f>+L49+Per_child_accounting!AJ$33</f>
        <v>1463.8724449958199</v>
      </c>
      <c r="M50" s="46">
        <f>+M49+Per_child_accounting!AK$33</f>
        <v>1511.2095168148264</v>
      </c>
      <c r="N50" s="46">
        <f>+N49+Per_child_accounting!AL$33</f>
        <v>1566.5505660620913</v>
      </c>
      <c r="O50" s="46">
        <f>+O49+Per_child_accounting!AM$33</f>
        <v>1698.7126376742629</v>
      </c>
      <c r="P50" s="46">
        <f>+P49+Per_child_accounting!AN$33</f>
        <v>1854.9368521766448</v>
      </c>
      <c r="Q50" s="46">
        <f>+Q49+Per_child_accounting!AO$33</f>
        <v>1892.1734507806705</v>
      </c>
      <c r="R50" s="46"/>
      <c r="S50" s="113"/>
      <c r="T50" s="113"/>
      <c r="U50" s="113"/>
      <c r="V50" s="113"/>
      <c r="W50" s="113"/>
      <c r="X50" s="113"/>
      <c r="Y50" s="113"/>
      <c r="Z50" s="113"/>
      <c r="AA50" s="113"/>
      <c r="AB50" s="113"/>
      <c r="AC50" s="113"/>
      <c r="AD50" s="113"/>
      <c r="AE50" s="113"/>
      <c r="AF50" s="113"/>
      <c r="AG50" s="113"/>
      <c r="AH50" s="113"/>
      <c r="AI50" s="113"/>
      <c r="AJ50" s="113"/>
      <c r="AK50" s="113"/>
      <c r="AL50" s="113"/>
      <c r="AM50" s="113"/>
      <c r="AN50" s="113"/>
    </row>
    <row r="51" spans="1:40" x14ac:dyDescent="0.2">
      <c r="B51" s="86" t="s">
        <v>1095</v>
      </c>
      <c r="C51" t="str">
        <f t="shared" ref="C51" si="15">+CONCATENATE(A$44,B51)</f>
        <v>Balance of NSW2+6</v>
      </c>
      <c r="D51" s="46">
        <f>+D50+Per_child_accounting!$AD$33</f>
        <v>1202.9831442541863</v>
      </c>
      <c r="E51" s="46">
        <f>+E50+Per_child_accounting!$AD$33</f>
        <v>1202.9831442541863</v>
      </c>
      <c r="F51" s="46">
        <f>+F50+Per_child_accounting!$AD$33</f>
        <v>1202.9831442541863</v>
      </c>
      <c r="G51" s="46">
        <f>+G50+Per_child_accounting!AE$33</f>
        <v>1202.9150025932458</v>
      </c>
      <c r="H51" s="46">
        <f>+H50+Per_child_accounting!AF$33</f>
        <v>1246.586924417104</v>
      </c>
      <c r="I51" s="46">
        <f>+I50+Per_child_accounting!AG$33</f>
        <v>1306.8992096186457</v>
      </c>
      <c r="J51" s="46">
        <f>+J50+Per_child_accounting!AH$33</f>
        <v>1394.4928565279995</v>
      </c>
      <c r="K51" s="46">
        <f>+K50+Per_child_accounting!AI$33</f>
        <v>1468.8439130300906</v>
      </c>
      <c r="L51" s="46">
        <f>+L50+Per_child_accounting!AJ$33</f>
        <v>1558.1702248811082</v>
      </c>
      <c r="M51" s="46">
        <f>+M50+Per_child_accounting!AK$33</f>
        <v>1605.4625770604321</v>
      </c>
      <c r="N51" s="46">
        <f>+N50+Per_child_accounting!AL$33</f>
        <v>1660.7513410677757</v>
      </c>
      <c r="O51" s="46">
        <f>+O50+Per_child_accounting!AM$33</f>
        <v>1792.7885576079159</v>
      </c>
      <c r="P51" s="46">
        <f>+P50+Per_child_accounting!AN$33</f>
        <v>1948.8651826370308</v>
      </c>
      <c r="Q51" s="46">
        <f>+Q50+Per_child_accounting!AO$33</f>
        <v>1986.0665990007694</v>
      </c>
      <c r="R51" s="46"/>
      <c r="S51" s="113"/>
      <c r="T51" s="113"/>
      <c r="U51" s="113"/>
      <c r="V51" s="113"/>
      <c r="W51" s="113"/>
      <c r="X51" s="113"/>
      <c r="Y51" s="113"/>
      <c r="Z51" s="113"/>
      <c r="AA51" s="113"/>
      <c r="AB51" s="113"/>
      <c r="AC51" s="113"/>
      <c r="AD51" s="113"/>
      <c r="AE51" s="113"/>
      <c r="AF51" s="113"/>
      <c r="AG51" s="113"/>
      <c r="AH51" s="113"/>
      <c r="AI51" s="113"/>
      <c r="AJ51" s="113"/>
      <c r="AK51" s="113"/>
      <c r="AL51" s="113"/>
      <c r="AM51" s="113"/>
      <c r="AN51" s="113"/>
    </row>
    <row r="52" spans="1:40" x14ac:dyDescent="0.2">
      <c r="B52" s="86"/>
      <c r="D52" s="46"/>
      <c r="E52" s="46"/>
      <c r="F52" s="46"/>
      <c r="G52" s="46"/>
      <c r="H52" s="46"/>
      <c r="I52" s="46"/>
      <c r="J52" s="46"/>
      <c r="K52" s="46"/>
      <c r="L52" s="46"/>
      <c r="M52" s="46"/>
      <c r="N52" s="46"/>
      <c r="O52" s="46"/>
      <c r="P52" s="46"/>
      <c r="Q52" s="46"/>
      <c r="R52" s="46"/>
      <c r="S52" s="113"/>
      <c r="T52" s="113"/>
      <c r="U52" s="113"/>
      <c r="V52" s="113"/>
      <c r="W52" s="113"/>
      <c r="X52" s="113"/>
      <c r="Y52" s="113"/>
      <c r="Z52" s="113"/>
      <c r="AA52" s="113"/>
      <c r="AB52" s="113"/>
      <c r="AC52" s="113"/>
      <c r="AD52" s="113"/>
      <c r="AE52" s="113"/>
      <c r="AF52" s="113"/>
      <c r="AG52" s="113"/>
      <c r="AH52" s="113"/>
      <c r="AI52" s="113"/>
      <c r="AJ52" s="113"/>
      <c r="AK52" s="113"/>
      <c r="AL52" s="113"/>
      <c r="AM52" s="113"/>
      <c r="AN52" s="113"/>
    </row>
    <row r="53" spans="1:40" x14ac:dyDescent="0.2">
      <c r="A53" t="s">
        <v>1096</v>
      </c>
      <c r="B53" s="86" t="s">
        <v>1097</v>
      </c>
      <c r="C53" t="str">
        <f t="shared" si="11"/>
        <v>Balance of NSW1+0</v>
      </c>
      <c r="D53" s="46">
        <f>IF(+DropINTable!AB44=0,DropINTable!AC44,DropINTable!AB44)</f>
        <v>332.80898617064111</v>
      </c>
      <c r="E53" s="46">
        <f>IF(+DropINTable!AC44=0,DropINTable!AD44,DropINTable!AC44)</f>
        <v>349.95024176214082</v>
      </c>
      <c r="F53" s="46">
        <f>IF(+DropINTable!AD44=0,DropINTable!AE44,DropINTable!AD44)</f>
        <v>366.09856587912606</v>
      </c>
      <c r="G53" s="46">
        <f>IF(+DropINTable!AE44=0,DropINTable!AF44,DropINTable!AE44)</f>
        <v>389.80234885636293</v>
      </c>
      <c r="H53" s="46">
        <f>IF(+DropINTable!AF44=0,DropINTable!AG44,DropINTable!AF44)</f>
        <v>432.90312973620524</v>
      </c>
      <c r="I53" s="46">
        <f>IF(+DropINTable!AG44=0,DropINTable!AH44,DropINTable!AG44)</f>
        <v>492.42664296775422</v>
      </c>
      <c r="J53" s="46">
        <f>IF(+DropINTable!AH44=0,DropINTable!AI44,DropINTable!AH44)</f>
        <v>578.87473352193797</v>
      </c>
      <c r="K53" s="46">
        <f>IF(+DropINTable!AI44=0,DropINTable!AJ44,DropINTable!AI44)</f>
        <v>652.25342985688314</v>
      </c>
      <c r="L53" s="46">
        <f>IF(+DropINTable!AJ44=0,DropINTable!AK44,DropINTable!AJ44)</f>
        <v>740.41153083284121</v>
      </c>
      <c r="M53" s="46">
        <f>IF(+DropINTable!AK44=0,DropINTable!AL44,DropINTable!AK44)</f>
        <v>787.08538854732558</v>
      </c>
      <c r="N53" s="46">
        <f>IF(+DropINTable!AL44=0,DropINTable!AM44,DropINTable!AL44)</f>
        <v>841.65109231130282</v>
      </c>
      <c r="O53" s="46">
        <f>IF(+DropINTable!AM44=0,DropINTable!AN44,DropINTable!AM44)</f>
        <v>971.96151635078627</v>
      </c>
      <c r="P53" s="46">
        <f>IF(+DropINTable!AN44=0,DropINTable!AO44,DropINTable!AN44)</f>
        <v>1125.9969667662522</v>
      </c>
      <c r="Q53" s="46">
        <f>IF(+DropINTable!AO44=0,DropINTable!AP44,DropINTable!AO44)</f>
        <v>1162.7118712824911</v>
      </c>
      <c r="R53" s="46"/>
      <c r="S53" s="113"/>
      <c r="T53" s="113"/>
      <c r="U53" s="113"/>
      <c r="V53" s="113"/>
      <c r="W53" s="113"/>
      <c r="X53" s="113"/>
      <c r="Y53" s="113"/>
      <c r="Z53" s="113"/>
      <c r="AA53" s="113"/>
      <c r="AB53" s="113"/>
      <c r="AC53" s="113"/>
      <c r="AD53" s="113"/>
      <c r="AE53" s="113"/>
      <c r="AF53" s="113"/>
      <c r="AG53" s="113"/>
      <c r="AH53" s="113"/>
      <c r="AI53" s="113"/>
      <c r="AJ53" s="113"/>
      <c r="AK53" s="113"/>
      <c r="AL53" s="113"/>
      <c r="AM53" s="113"/>
      <c r="AN53" s="113"/>
    </row>
    <row r="54" spans="1:40" x14ac:dyDescent="0.2">
      <c r="A54" t="s">
        <v>1098</v>
      </c>
      <c r="B54" s="86" t="s">
        <v>1099</v>
      </c>
      <c r="C54" t="str">
        <f t="shared" si="11"/>
        <v>Balance of NSW1+1</v>
      </c>
      <c r="D54" s="46">
        <f>IF(+DropINTable!AB45=0,DropINTable!AC45,DropINTable!AB45)</f>
        <v>449.42788669960925</v>
      </c>
      <c r="E54" s="46">
        <f>IF(+DropINTable!AC45=0,DropINTable!AD45,DropINTable!AC45)</f>
        <v>449.42788669960925</v>
      </c>
      <c r="F54" s="46">
        <f>IF(+DropINTable!AD45=0,DropINTable!AE45,DropINTable!AD45)</f>
        <v>465.47567595772909</v>
      </c>
      <c r="G54" s="46">
        <f>IF(+DropINTable!AE45=0,DropINTable!AF45,DropINTable!AE45)</f>
        <v>489.03188443426973</v>
      </c>
      <c r="H54" s="46">
        <f>IF(+DropINTable!AF45=0,DropINTable!AG45,DropINTable!AF45)</f>
        <v>531.86432904268418</v>
      </c>
      <c r="I54" s="46">
        <f>IF(+DropINTable!AG45=0,DropINTable!AH45,DropINTable!AG45)</f>
        <v>591.01726440214077</v>
      </c>
      <c r="J54" s="46">
        <f>IF(+DropINTable!AH45=0,DropINTable!AI45,DropINTable!AH45)</f>
        <v>676.92714903082287</v>
      </c>
      <c r="K54" s="46">
        <f>IF(+DropINTable!AI45=0,DropINTable!AJ45,DropINTable!AI45)</f>
        <v>749.84900709726617</v>
      </c>
      <c r="L54" s="46">
        <f>IF(+DropINTable!AJ45=0,DropINTable!AK45,DropINTable!AJ45)</f>
        <v>837.45825731041703</v>
      </c>
      <c r="M54" s="46">
        <f>IF(+DropINTable!AK45=0,DropINTable!AL45,DropINTable!AK45)</f>
        <v>883.84153313101967</v>
      </c>
      <c r="N54" s="46">
        <f>IF(+DropINTable!AL45=0,DropINTable!AM45,DropINTable!AL45)</f>
        <v>938.06752316293068</v>
      </c>
      <c r="O54" s="46">
        <f>IF(+DropINTable!AM45=0,DropINTable!AN45,DropINTable!AM45)</f>
        <v>1067.5666677334816</v>
      </c>
      <c r="P54" s="46">
        <f>IF(+DropINTable!AN45=0,DropINTable!AO45,DropINTable!AN45)</f>
        <v>1220.6431290581572</v>
      </c>
      <c r="Q54" s="46">
        <f>IF(+DropINTable!AO45=0,DropINTable!AP45,DropINTable!AO45)</f>
        <v>1257.129456089069</v>
      </c>
      <c r="R54" s="46"/>
      <c r="S54" s="113"/>
      <c r="T54" s="113"/>
      <c r="U54" s="113"/>
      <c r="V54" s="113"/>
      <c r="W54" s="113"/>
      <c r="X54" s="113"/>
      <c r="Y54" s="113"/>
      <c r="Z54" s="113"/>
      <c r="AA54" s="113"/>
      <c r="AB54" s="113"/>
      <c r="AC54" s="113"/>
      <c r="AD54" s="113"/>
      <c r="AE54" s="113"/>
      <c r="AF54" s="113"/>
      <c r="AG54" s="113"/>
      <c r="AH54" s="113"/>
      <c r="AI54" s="113"/>
      <c r="AJ54" s="113"/>
      <c r="AK54" s="113"/>
      <c r="AL54" s="113"/>
      <c r="AM54" s="113"/>
      <c r="AN54" s="113"/>
    </row>
    <row r="55" spans="1:40" x14ac:dyDescent="0.2">
      <c r="A55" t="s">
        <v>1100</v>
      </c>
      <c r="B55" s="86" t="s">
        <v>1101</v>
      </c>
      <c r="C55" t="str">
        <f t="shared" si="11"/>
        <v>Balance of NSW1+2</v>
      </c>
      <c r="D55" s="46">
        <f>IF(+DropINTable!AB46=0,DropINTable!AC46,DropINTable!AB46)</f>
        <v>567.19054409644616</v>
      </c>
      <c r="E55" s="46">
        <f>IF(+DropINTable!AC46=0,DropINTable!AD46,DropINTable!AC46)</f>
        <v>567.19054409644616</v>
      </c>
      <c r="F55" s="46">
        <f>IF(+DropINTable!AD46=0,DropINTable!AE46,DropINTable!AD46)</f>
        <v>583.24959846682054</v>
      </c>
      <c r="G55" s="46">
        <f>IF(+DropINTable!AE46=0,DropINTable!AF46,DropINTable!AE46)</f>
        <v>606.82234274497807</v>
      </c>
      <c r="H55" s="46">
        <f>IF(+DropINTable!AF46=0,DropINTable!AG46,DropINTable!AF46)</f>
        <v>649.68485626325605</v>
      </c>
      <c r="I55" s="46">
        <f>IF(+DropINTable!AG46=0,DropINTable!AH46,DropINTable!AG46)</f>
        <v>708.87931710369355</v>
      </c>
      <c r="J55" s="46">
        <f>IF(+DropINTable!AH46=0,DropINTable!AI46,DropINTable!AH46)</f>
        <v>794.84951198548481</v>
      </c>
      <c r="K55" s="46">
        <f>IF(+DropINTable!AI46=0,DropINTable!AJ46,DropINTable!AI46)</f>
        <v>867.82256161495843</v>
      </c>
      <c r="L55" s="46">
        <f>IF(+DropINTable!AJ46=0,DropINTable!AK46,DropINTable!AJ46)</f>
        <v>955.49331429857727</v>
      </c>
      <c r="M55" s="46">
        <f>IF(+DropINTable!AK46=0,DropINTable!AL46,DropINTable!AK46)</f>
        <v>1001.9091542344788</v>
      </c>
      <c r="N55" s="46">
        <f>IF(+DropINTable!AL46=0,DropINTable!AM46,DropINTable!AL46)</f>
        <v>1056.1732104528444</v>
      </c>
      <c r="O55" s="46">
        <f>IF(+DropINTable!AM46=0,DropINTable!AN46,DropINTable!AM46)</f>
        <v>1185.7632640989034</v>
      </c>
      <c r="P55" s="46">
        <f>IF(+DropINTable!AN46=0,DropINTable!AO46,DropINTable!AN46)</f>
        <v>1338.9471877255482</v>
      </c>
      <c r="Q55" s="46">
        <f>IF(+DropINTable!AO46=0,DropINTable!AP46,DropINTable!AO46)</f>
        <v>1375.4591251301399</v>
      </c>
      <c r="R55" s="46"/>
      <c r="S55" s="113"/>
      <c r="T55" s="113"/>
      <c r="U55" s="113"/>
      <c r="V55" s="113"/>
      <c r="W55" s="113"/>
      <c r="X55" s="113"/>
      <c r="Y55" s="113"/>
      <c r="Z55" s="113"/>
      <c r="AA55" s="113"/>
      <c r="AB55" s="113"/>
      <c r="AC55" s="113"/>
      <c r="AD55" s="113"/>
      <c r="AE55" s="113"/>
      <c r="AF55" s="113"/>
      <c r="AG55" s="113"/>
      <c r="AH55" s="113"/>
      <c r="AI55" s="113"/>
      <c r="AJ55" s="113"/>
      <c r="AK55" s="113"/>
      <c r="AL55" s="113"/>
      <c r="AM55" s="113"/>
      <c r="AN55" s="113"/>
    </row>
    <row r="56" spans="1:40" x14ac:dyDescent="0.2">
      <c r="A56" t="s">
        <v>1102</v>
      </c>
      <c r="B56" s="86" t="s">
        <v>1103</v>
      </c>
      <c r="C56" t="str">
        <f t="shared" si="11"/>
        <v>Balance of NSW1+3</v>
      </c>
      <c r="D56" s="46">
        <f t="shared" ref="D56" si="16">+E56</f>
        <v>701.02352097591199</v>
      </c>
      <c r="E56" s="46">
        <f>IF(+DropINTable!AC47=0,DropINTable!AD47,DropINTable!AC47)</f>
        <v>701.02352097591199</v>
      </c>
      <c r="F56" s="46">
        <f>IF(+DropINTable!AD47=0,DropINTable!AE47,DropINTable!AD47)</f>
        <v>701.02352097591199</v>
      </c>
      <c r="G56" s="46">
        <f>IF(+DropINTable!AE47=0,DropINTable!AF47,DropINTable!AE47)</f>
        <v>724.61280105568642</v>
      </c>
      <c r="H56" s="46">
        <f>IF(+DropINTable!AF47=0,DropINTable!AG47,DropINTable!AF47)</f>
        <v>767.50538348382793</v>
      </c>
      <c r="I56" s="46">
        <f>IF(+DropINTable!AG47=0,DropINTable!AH47,DropINTable!AG47)</f>
        <v>826.74136980524634</v>
      </c>
      <c r="J56" s="46">
        <f>IF(+DropINTable!AH47=0,DropINTable!AI47,DropINTable!AH47)</f>
        <v>912.77187494014674</v>
      </c>
      <c r="K56" s="46">
        <f>IF(+DropINTable!AI47=0,DropINTable!AJ47,DropINTable!AI47)</f>
        <v>985.7961161326507</v>
      </c>
      <c r="L56" s="46">
        <f>IF(+DropINTable!AJ47=0,DropINTable!AK47,DropINTable!AJ47)</f>
        <v>1073.5283712867376</v>
      </c>
      <c r="M56" s="46">
        <f>IF(+DropINTable!AK47=0,DropINTable!AL47,DropINTable!AK47)</f>
        <v>1119.9767753379379</v>
      </c>
      <c r="N56" s="46">
        <f>IF(+DropINTable!AL47=0,DropINTable!AM47,DropINTable!AL47)</f>
        <v>1174.2788977427581</v>
      </c>
      <c r="O56" s="46">
        <f>IF(+DropINTable!AM47=0,DropINTable!AN47,DropINTable!AM47)</f>
        <v>1303.9598604643252</v>
      </c>
      <c r="P56" s="46">
        <f>IF(+DropINTable!AN47=0,DropINTable!AO47,DropINTable!AN47)</f>
        <v>1457.2512463929393</v>
      </c>
      <c r="Q56" s="46">
        <f>IF(+DropINTable!AO47=0,DropINTable!AP47,DropINTable!AO47)</f>
        <v>1493.7887941712108</v>
      </c>
      <c r="R56" s="46"/>
      <c r="S56" s="113"/>
      <c r="T56" s="113"/>
      <c r="U56" s="113"/>
      <c r="V56" s="113"/>
      <c r="W56" s="113"/>
      <c r="X56" s="113"/>
      <c r="Y56" s="113"/>
      <c r="Z56" s="113"/>
      <c r="AA56" s="113"/>
      <c r="AB56" s="113"/>
      <c r="AC56" s="113"/>
      <c r="AD56" s="113"/>
      <c r="AE56" s="113"/>
      <c r="AF56" s="113"/>
      <c r="AG56" s="113"/>
      <c r="AH56" s="113"/>
      <c r="AI56" s="113"/>
      <c r="AJ56" s="113"/>
      <c r="AK56" s="113"/>
      <c r="AL56" s="113"/>
      <c r="AM56" s="113"/>
      <c r="AN56" s="113"/>
    </row>
    <row r="57" spans="1:40" x14ac:dyDescent="0.2">
      <c r="B57" s="86" t="s">
        <v>1104</v>
      </c>
      <c r="C57" t="str">
        <f t="shared" ref="C57:C59" si="17">+CONCATENATE(A$44,B57)</f>
        <v>Balance of NSW1+4</v>
      </c>
      <c r="D57" s="46">
        <f>+D56+Per_child_accounting!$AC$36</f>
        <v>800.50116591338042</v>
      </c>
      <c r="E57" s="46">
        <f>+E56+Per_child_accounting!$AC$36</f>
        <v>800.50116591338042</v>
      </c>
      <c r="F57" s="46">
        <f>+F56+Per_child_accounting!$AD$36</f>
        <v>800.40063105451509</v>
      </c>
      <c r="G57" s="46">
        <f>+G56+Per_child_accounting!$AE$36</f>
        <v>823.84233663359328</v>
      </c>
      <c r="H57" s="46">
        <f>+H56+Per_child_accounting!$AF$36</f>
        <v>866.4665827903068</v>
      </c>
      <c r="I57" s="46">
        <f>+I56+Per_child_accounting!$AG$36</f>
        <v>925.33199123963288</v>
      </c>
      <c r="J57" s="46">
        <f>+J56+Per_child_accounting!$AH$36</f>
        <v>1010.8242904490317</v>
      </c>
      <c r="K57" s="46">
        <f>+K56+Per_child_accounting!$AI$36</f>
        <v>1083.3916933730338</v>
      </c>
      <c r="L57" s="46">
        <f>+L56+Per_child_accounting!$AJ$36</f>
        <v>1170.5750977643133</v>
      </c>
      <c r="M57" s="46">
        <f>+M56+Per_child_accounting!$AK$36</f>
        <v>1216.7329199216319</v>
      </c>
      <c r="N57" s="46">
        <f>+N56+Per_child_accounting!$AL$36</f>
        <v>1270.695328594386</v>
      </c>
      <c r="O57" s="46">
        <f>+O56+Per_child_accounting!$AM$36</f>
        <v>1399.5650118470205</v>
      </c>
      <c r="P57" s="46">
        <f>+P56+Per_child_accounting!$AN$36</f>
        <v>1551.8974086848443</v>
      </c>
      <c r="Q57" s="46">
        <f>+Q56+Per_child_accounting!$AO$36</f>
        <v>1588.2063789777887</v>
      </c>
      <c r="R57" s="46"/>
      <c r="S57" s="113"/>
      <c r="T57" s="113"/>
      <c r="U57" s="113"/>
      <c r="V57" s="113"/>
      <c r="W57" s="113"/>
      <c r="X57" s="113"/>
      <c r="Y57" s="113"/>
      <c r="Z57" s="113"/>
      <c r="AA57" s="113"/>
      <c r="AB57" s="113"/>
      <c r="AC57" s="113"/>
      <c r="AD57" s="113"/>
      <c r="AE57" s="113"/>
      <c r="AF57" s="113"/>
      <c r="AG57" s="113"/>
      <c r="AH57" s="113"/>
      <c r="AI57" s="113"/>
      <c r="AJ57" s="113"/>
      <c r="AK57" s="113"/>
      <c r="AL57" s="113"/>
      <c r="AM57" s="113"/>
      <c r="AN57" s="113"/>
    </row>
    <row r="58" spans="1:40" x14ac:dyDescent="0.2">
      <c r="B58" s="86" t="s">
        <v>1105</v>
      </c>
      <c r="C58" t="str">
        <f t="shared" si="17"/>
        <v>Balance of NSW1+5</v>
      </c>
      <c r="D58" s="46">
        <f>+D57+Per_child_accounting!$AC$36</f>
        <v>899.97881085084884</v>
      </c>
      <c r="E58" s="46">
        <f>+E57+Per_child_accounting!$AC$36</f>
        <v>899.97881085084884</v>
      </c>
      <c r="F58" s="46">
        <f>+F57+Per_child_accounting!$AD$36</f>
        <v>899.77774113311807</v>
      </c>
      <c r="G58" s="46">
        <f>+G57+Per_child_accounting!$AE$36</f>
        <v>923.07187221150002</v>
      </c>
      <c r="H58" s="46">
        <f>+H57+Per_child_accounting!$AF$36</f>
        <v>965.42778209678568</v>
      </c>
      <c r="I58" s="46">
        <f>+I57+Per_child_accounting!$AG$36</f>
        <v>1023.9226126740194</v>
      </c>
      <c r="J58" s="46">
        <f>+J57+Per_child_accounting!$AH$36</f>
        <v>1108.8767059579166</v>
      </c>
      <c r="K58" s="46">
        <f>+K57+Per_child_accounting!$AI$36</f>
        <v>1180.987270613417</v>
      </c>
      <c r="L58" s="46">
        <f>+L57+Per_child_accounting!$AJ$36</f>
        <v>1267.621824241889</v>
      </c>
      <c r="M58" s="46">
        <f>+M57+Per_child_accounting!$AK$36</f>
        <v>1313.489064505326</v>
      </c>
      <c r="N58" s="46">
        <f>+N57+Per_child_accounting!$AL$36</f>
        <v>1367.1117594460138</v>
      </c>
      <c r="O58" s="46">
        <f>+O57+Per_child_accounting!$AM$36</f>
        <v>1495.1701632297159</v>
      </c>
      <c r="P58" s="46">
        <f>+P57+Per_child_accounting!$AN$36</f>
        <v>1646.5435709767494</v>
      </c>
      <c r="Q58" s="46">
        <f>+Q57+Per_child_accounting!$AO$36</f>
        <v>1682.6239637843667</v>
      </c>
      <c r="R58" s="46"/>
      <c r="S58" s="113"/>
      <c r="T58" s="113"/>
      <c r="U58" s="113"/>
      <c r="V58" s="113"/>
      <c r="W58" s="113"/>
      <c r="X58" s="113"/>
      <c r="Y58" s="113"/>
      <c r="Z58" s="113"/>
      <c r="AA58" s="113"/>
      <c r="AB58" s="113"/>
      <c r="AC58" s="113"/>
      <c r="AD58" s="113"/>
      <c r="AE58" s="113"/>
      <c r="AF58" s="113"/>
      <c r="AG58" s="113"/>
      <c r="AH58" s="113"/>
      <c r="AI58" s="113"/>
      <c r="AJ58" s="113"/>
      <c r="AK58" s="113"/>
      <c r="AL58" s="113"/>
      <c r="AM58" s="113"/>
      <c r="AN58" s="113"/>
    </row>
    <row r="59" spans="1:40" x14ac:dyDescent="0.2">
      <c r="B59" s="86" t="s">
        <v>1106</v>
      </c>
      <c r="C59" t="str">
        <f t="shared" si="17"/>
        <v>Balance of NSW1+6</v>
      </c>
      <c r="D59" s="46">
        <f>+D58+Per_child_accounting!$AC$36</f>
        <v>999.45645578831727</v>
      </c>
      <c r="E59" s="46">
        <f>+E58+Per_child_accounting!$AC$36</f>
        <v>999.45645578831727</v>
      </c>
      <c r="F59" s="46">
        <f>+F58+Per_child_accounting!$AD$36</f>
        <v>999.15485121172105</v>
      </c>
      <c r="G59" s="46">
        <f>+G58+Per_child_accounting!$AE$36</f>
        <v>1022.3014077894068</v>
      </c>
      <c r="H59" s="46">
        <f>+H58+Per_child_accounting!$AF$36</f>
        <v>1064.3889814032646</v>
      </c>
      <c r="I59" s="46">
        <f>+I58+Per_child_accounting!$AG$36</f>
        <v>1122.5132341084059</v>
      </c>
      <c r="J59" s="46">
        <f>+J58+Per_child_accounting!$AH$36</f>
        <v>1206.9291214668015</v>
      </c>
      <c r="K59" s="46">
        <f>+K58+Per_child_accounting!$AI$36</f>
        <v>1278.5828478538001</v>
      </c>
      <c r="L59" s="46">
        <f>+L58+Per_child_accounting!$AJ$36</f>
        <v>1364.6685507194647</v>
      </c>
      <c r="M59" s="46">
        <f>+M58+Per_child_accounting!$AK$36</f>
        <v>1410.2452090890201</v>
      </c>
      <c r="N59" s="46">
        <f>+N58+Per_child_accounting!$AL$36</f>
        <v>1463.5281902976417</v>
      </c>
      <c r="O59" s="46">
        <f>+O58+Per_child_accounting!$AM$36</f>
        <v>1590.7753146124112</v>
      </c>
      <c r="P59" s="46">
        <f>+P58+Per_child_accounting!$AN$36</f>
        <v>1741.1897332686544</v>
      </c>
      <c r="Q59" s="46">
        <f>+Q58+Per_child_accounting!$AO$36</f>
        <v>1777.0415485909446</v>
      </c>
      <c r="R59" s="46"/>
      <c r="S59" s="113"/>
      <c r="T59" s="113"/>
      <c r="U59" s="113"/>
      <c r="V59" s="113"/>
      <c r="W59" s="113"/>
      <c r="X59" s="113"/>
      <c r="Y59" s="113"/>
      <c r="Z59" s="113"/>
      <c r="AA59" s="113"/>
      <c r="AB59" s="113"/>
      <c r="AC59" s="113"/>
      <c r="AD59" s="113"/>
      <c r="AE59" s="113"/>
      <c r="AF59" s="113"/>
      <c r="AG59" s="113"/>
      <c r="AH59" s="113"/>
      <c r="AI59" s="113"/>
      <c r="AJ59" s="113"/>
      <c r="AK59" s="113"/>
      <c r="AL59" s="113"/>
      <c r="AM59" s="113"/>
      <c r="AN59" s="113"/>
    </row>
    <row r="60" spans="1:40" x14ac:dyDescent="0.2">
      <c r="D60" s="46"/>
      <c r="E60" s="46"/>
      <c r="F60" s="46"/>
      <c r="G60" s="46"/>
      <c r="H60" s="46"/>
      <c r="I60" s="46"/>
      <c r="J60" s="46"/>
      <c r="K60" s="46"/>
      <c r="L60" s="46"/>
      <c r="M60" s="46"/>
      <c r="N60" s="46"/>
      <c r="O60" s="46"/>
      <c r="P60" s="46"/>
      <c r="Q60" s="46"/>
      <c r="R60" s="46"/>
      <c r="S60" s="113"/>
      <c r="T60" s="113"/>
      <c r="U60" s="113"/>
      <c r="V60" s="113"/>
      <c r="W60" s="113"/>
      <c r="X60" s="113"/>
      <c r="Y60" s="113"/>
      <c r="Z60" s="113"/>
      <c r="AA60" s="113"/>
      <c r="AB60" s="113"/>
      <c r="AC60" s="113"/>
      <c r="AD60" s="113"/>
      <c r="AE60" s="113"/>
      <c r="AF60" s="113"/>
      <c r="AG60" s="113"/>
      <c r="AH60" s="113"/>
      <c r="AI60" s="113"/>
      <c r="AJ60" s="113"/>
      <c r="AK60" s="113"/>
      <c r="AL60" s="113"/>
      <c r="AM60" s="113"/>
      <c r="AN60" s="113"/>
    </row>
    <row r="61" spans="1:40" ht="28.5" x14ac:dyDescent="0.45">
      <c r="A61" s="368" t="s">
        <v>232</v>
      </c>
      <c r="B61" s="368"/>
      <c r="C61" s="368"/>
      <c r="D61" s="46"/>
      <c r="E61" s="46"/>
      <c r="F61" s="46"/>
      <c r="G61" s="46"/>
      <c r="H61" s="46"/>
      <c r="I61" s="46"/>
      <c r="J61" s="46"/>
      <c r="K61" s="46"/>
      <c r="L61" s="46"/>
      <c r="M61" s="46"/>
      <c r="N61" s="46"/>
      <c r="O61" s="46"/>
      <c r="P61" s="46"/>
      <c r="Q61" s="46"/>
      <c r="R61" s="46"/>
      <c r="S61" s="113"/>
      <c r="T61" s="113"/>
      <c r="U61" s="113"/>
      <c r="V61" s="113"/>
      <c r="W61" s="113"/>
      <c r="X61" s="113"/>
      <c r="Y61" s="113"/>
      <c r="Z61" s="113"/>
      <c r="AA61" s="113"/>
      <c r="AB61" s="113"/>
      <c r="AC61" s="113"/>
      <c r="AD61" s="113"/>
      <c r="AE61" s="113"/>
      <c r="AF61" s="113"/>
      <c r="AG61" s="113"/>
      <c r="AH61" s="113"/>
      <c r="AI61" s="113"/>
      <c r="AJ61" s="113"/>
      <c r="AK61" s="113"/>
      <c r="AL61" s="113"/>
      <c r="AM61" s="113"/>
      <c r="AN61" s="113"/>
    </row>
    <row r="62" spans="1:40" x14ac:dyDescent="0.2">
      <c r="A62" t="s">
        <v>1085</v>
      </c>
      <c r="B62" s="86" t="s">
        <v>1086</v>
      </c>
      <c r="C62" t="str">
        <f>+CONCATENATE(A$61,B62)</f>
        <v>Melbourne2+0</v>
      </c>
      <c r="D62" s="46">
        <f>IF(+DropINTable!AB51=0,DropINTable!AC51,DropINTable!AB51)</f>
        <v>623.72884519680986</v>
      </c>
      <c r="E62" s="46">
        <f>IF(+DropINTable!AC51=0,DropINTable!AD51,DropINTable!AC51)</f>
        <v>623.72884519680986</v>
      </c>
      <c r="F62" s="46">
        <f>IF(+DropINTable!AD51=0,DropINTable!AE51,DropINTable!AD51)</f>
        <v>640.03394872071715</v>
      </c>
      <c r="G62" s="46">
        <f>IF(+DropINTable!AE51=0,DropINTable!AF51,DropINTable!AE51)</f>
        <v>663.96786442584141</v>
      </c>
      <c r="H62" s="46">
        <f>IF(+DropINTable!AF51=0,DropINTable!AG51,DropINTable!AF51)</f>
        <v>707.48709754773256</v>
      </c>
      <c r="I62" s="46">
        <f>IF(+DropINTable!AG51=0,DropINTable!AH51,DropINTable!AG51)</f>
        <v>767.58850640688502</v>
      </c>
      <c r="J62" s="46">
        <f>IF(+DropINTable!AH51=0,DropINTable!AI51,DropINTable!AH51)</f>
        <v>854.87589501202024</v>
      </c>
      <c r="K62" s="46">
        <f>IF(+DropINTable!AI51=0,DropINTable!AJ51,DropINTable!AI51)</f>
        <v>928.96700381928417</v>
      </c>
      <c r="L62" s="46">
        <f>IF(+DropINTable!AJ51=0,DropINTable!AK51,DropINTable!AJ51)</f>
        <v>1017.9810049866011</v>
      </c>
      <c r="M62" s="46">
        <f>IF(+DropINTable!AK51=0,DropINTable!AL51,DropINTable!AK51)</f>
        <v>1065.1080053088399</v>
      </c>
      <c r="N62" s="46">
        <f>IF(+DropINTable!AL51=0,DropINTable!AM51,DropINTable!AL51)</f>
        <v>1120.203468585815</v>
      </c>
      <c r="O62" s="46">
        <f>IF(+DropINTable!AM51=0,DropINTable!AN51,DropINTable!AM51)</f>
        <v>1251.7790382844485</v>
      </c>
      <c r="P62" s="46">
        <f>IF(+DropINTable!AN51=0,DropINTable!AO51,DropINTable!AN51)</f>
        <v>1407.309971549126</v>
      </c>
      <c r="Q62" s="46">
        <f>IF(+DropINTable!AO51=0,DropINTable!AP51,DropINTable!AO51)</f>
        <v>1444.3813304476896</v>
      </c>
      <c r="R62" s="46"/>
      <c r="S62" s="113"/>
      <c r="T62" s="113"/>
      <c r="U62" s="113"/>
      <c r="V62" s="113"/>
      <c r="W62" s="113"/>
      <c r="X62" s="113"/>
      <c r="Y62" s="113"/>
      <c r="Z62" s="113"/>
      <c r="AA62" s="113"/>
      <c r="AB62" s="113"/>
      <c r="AC62" s="113"/>
      <c r="AD62" s="113"/>
      <c r="AE62" s="113"/>
      <c r="AF62" s="113"/>
      <c r="AG62" s="113"/>
      <c r="AH62" s="113"/>
      <c r="AI62" s="113"/>
      <c r="AJ62" s="113"/>
      <c r="AK62" s="113"/>
      <c r="AL62" s="113"/>
      <c r="AM62" s="113"/>
      <c r="AN62" s="113"/>
    </row>
    <row r="63" spans="1:40" x14ac:dyDescent="0.2">
      <c r="A63" t="s">
        <v>1087</v>
      </c>
      <c r="B63" s="86" t="s">
        <v>1088</v>
      </c>
      <c r="C63" t="str">
        <f t="shared" ref="C63:C73" si="18">+CONCATENATE(A$61,B63)</f>
        <v>Melbourne2+1</v>
      </c>
      <c r="D63" s="46">
        <f t="shared" ref="D63:D64" si="19">+E63</f>
        <v>734.70256942841195</v>
      </c>
      <c r="E63" s="46">
        <f>IF(+DropINTable!AC52=0,DropINTable!AD52,DropINTable!AC52)</f>
        <v>734.70256942841195</v>
      </c>
      <c r="F63" s="46">
        <f>IF(+DropINTable!AD52=0,DropINTable!AE52,DropINTable!AD52)</f>
        <v>734.70256942841195</v>
      </c>
      <c r="G63" s="46">
        <f>IF(+DropINTable!AE52=0,DropINTable!AF52,DropINTable!AE52)</f>
        <v>758.61377177267889</v>
      </c>
      <c r="H63" s="46">
        <f>IF(+DropINTable!AF52=0,DropINTable!AG52,DropINTable!AF52)</f>
        <v>802.09170714672985</v>
      </c>
      <c r="I63" s="46">
        <f>IF(+DropINTable!AG52=0,DropINTable!AH52,DropINTable!AG52)</f>
        <v>862.13608518127489</v>
      </c>
      <c r="J63" s="46">
        <f>IF(+DropINTable!AH52=0,DropINTable!AI52,DropINTable!AH52)</f>
        <v>949.34064354990278</v>
      </c>
      <c r="K63" s="46">
        <f>IF(+DropINTable!AI52=0,DropINTable!AJ52,DropINTable!AI52)</f>
        <v>1023.3614440989426</v>
      </c>
      <c r="L63" s="46">
        <f>IF(+DropINTable!AJ52=0,DropINTable!AK52,DropINTable!AJ52)</f>
        <v>1112.2909741845842</v>
      </c>
      <c r="M63" s="46">
        <f>IF(+DropINTable!AK52=0,DropINTable!AL52,DropINTable!AK52)</f>
        <v>1159.3732552905328</v>
      </c>
      <c r="N63" s="46">
        <f>IF(+DropINTable!AL52=0,DropINTable!AM52,DropINTable!AL52)</f>
        <v>1214.4164341862286</v>
      </c>
      <c r="O63" s="46">
        <f>IF(+DropINTable!AM52=0,DropINTable!AN52,DropINTable!AM52)</f>
        <v>1345.8671493220907</v>
      </c>
      <c r="P63" s="46">
        <f>IF(+DropINTable!AN52=0,DropINTable!AO52,DropINTable!AN52)</f>
        <v>1501.2504925627902</v>
      </c>
      <c r="Q63" s="46">
        <f>IF(+DropINTable!AO52=0,DropINTable!AP52,DropINTable!AO52)</f>
        <v>1538.2866703281795</v>
      </c>
      <c r="R63" s="46"/>
      <c r="S63" s="113"/>
      <c r="T63" s="113"/>
      <c r="U63" s="113"/>
      <c r="V63" s="113"/>
      <c r="W63" s="113"/>
      <c r="X63" s="113"/>
      <c r="Y63" s="113"/>
      <c r="Z63" s="113"/>
      <c r="AA63" s="113"/>
      <c r="AB63" s="113"/>
      <c r="AC63" s="113"/>
      <c r="AD63" s="113"/>
      <c r="AE63" s="113"/>
      <c r="AF63" s="113"/>
      <c r="AG63" s="113"/>
      <c r="AH63" s="113"/>
      <c r="AI63" s="113"/>
      <c r="AJ63" s="113"/>
      <c r="AK63" s="113"/>
      <c r="AL63" s="113"/>
      <c r="AM63" s="113"/>
      <c r="AN63" s="113"/>
    </row>
    <row r="64" spans="1:40" x14ac:dyDescent="0.2">
      <c r="A64" t="s">
        <v>1089</v>
      </c>
      <c r="B64" s="86" t="s">
        <v>1090</v>
      </c>
      <c r="C64" t="str">
        <f t="shared" si="18"/>
        <v>Melbourne2+2</v>
      </c>
      <c r="D64" s="46">
        <f t="shared" si="19"/>
        <v>813.00742100465845</v>
      </c>
      <c r="E64" s="46">
        <f>IF(+DropINTable!AC53=0,DropINTable!AD53,DropINTable!AC53)</f>
        <v>813.00742100465845</v>
      </c>
      <c r="F64" s="46">
        <f>IF(+DropINTable!AD53=0,DropINTable!AE53,DropINTable!AD53)</f>
        <v>813.00742100465845</v>
      </c>
      <c r="G64" s="46">
        <f>IF(+DropINTable!AE53=0,DropINTable!AF53,DropINTable!AE53)</f>
        <v>837.01179161713537</v>
      </c>
      <c r="H64" s="46">
        <f>IF(+DropINTable!AF53=0,DropINTable!AG53,DropINTable!AF53)</f>
        <v>880.65913449291077</v>
      </c>
      <c r="I64" s="46">
        <f>IF(+DropINTable!AG53=0,DropINTable!AH53,DropINTable!AG53)</f>
        <v>940.93746652140726</v>
      </c>
      <c r="J64" s="46">
        <f>IF(+DropINTable!AH53=0,DropINTable!AI53,DropINTable!AH53)</f>
        <v>1028.4818054678462</v>
      </c>
      <c r="K64" s="46">
        <f>IF(+DropINTable!AI53=0,DropINTable!AJ53,DropINTable!AI53)</f>
        <v>1102.7910195158649</v>
      </c>
      <c r="L64" s="46">
        <f>IF(+DropINTable!AJ53=0,DropINTable!AK53,DropINTable!AJ53)</f>
        <v>1192.0670573387276</v>
      </c>
      <c r="M64" s="46">
        <f>IF(+DropINTable!AK53=0,DropINTable!AL53,DropINTable!AK53)</f>
        <v>1239.3327855892435</v>
      </c>
      <c r="N64" s="46">
        <f>IF(+DropINTable!AL53=0,DropINTable!AM53,DropINTable!AL53)</f>
        <v>1294.5904366222319</v>
      </c>
      <c r="O64" s="46">
        <f>IF(+DropINTable!AM53=0,DropINTable!AN53,DropINTable!AM53)</f>
        <v>1426.5533308958597</v>
      </c>
      <c r="P64" s="46">
        <f>IF(+DropINTable!AN53=0,DropINTable!AO53,DropINTable!AN53)</f>
        <v>1582.5421091704754</v>
      </c>
      <c r="Q64" s="46">
        <f>IF(+DropINTable!AO53=0,DropINTable!AP53,DropINTable!AO53)</f>
        <v>1619.7225962190532</v>
      </c>
      <c r="R64" s="46"/>
      <c r="S64" s="113"/>
      <c r="T64" s="113"/>
      <c r="U64" s="113"/>
      <c r="V64" s="113"/>
      <c r="W64" s="113"/>
      <c r="X64" s="113"/>
      <c r="Y64" s="113"/>
      <c r="Z64" s="113"/>
      <c r="AA64" s="113"/>
      <c r="AB64" s="113"/>
      <c r="AC64" s="113"/>
      <c r="AD64" s="113"/>
      <c r="AE64" s="113"/>
      <c r="AF64" s="113"/>
      <c r="AG64" s="113"/>
      <c r="AH64" s="113"/>
      <c r="AI64" s="113"/>
      <c r="AJ64" s="113"/>
      <c r="AK64" s="113"/>
      <c r="AL64" s="113"/>
      <c r="AM64" s="113"/>
      <c r="AN64" s="113"/>
    </row>
    <row r="65" spans="1:40" x14ac:dyDescent="0.2">
      <c r="A65" t="s">
        <v>1091</v>
      </c>
      <c r="B65" s="86" t="s">
        <v>1092</v>
      </c>
      <c r="C65" t="str">
        <f t="shared" si="18"/>
        <v>Melbourne2+3</v>
      </c>
      <c r="D65" s="46">
        <f t="shared" ref="D65" si="20">+F65</f>
        <v>906.0861041972114</v>
      </c>
      <c r="E65" s="46">
        <f>+F65</f>
        <v>906.0861041972114</v>
      </c>
      <c r="F65" s="46">
        <f>IF(+DropINTable!AD54=0,DropINTable!AE54,DropINTable!AD54)</f>
        <v>906.0861041972114</v>
      </c>
      <c r="G65" s="46">
        <f>IF(+DropINTable!AE54=0,DropINTable!AF54,DropINTable!AE54)</f>
        <v>906.0861041972114</v>
      </c>
      <c r="H65" s="46">
        <f>IF(+DropINTable!AF54=0,DropINTable!AG54,DropINTable!AF54)</f>
        <v>949.88191869725654</v>
      </c>
      <c r="I65" s="46">
        <f>IF(+DropINTable!AG54=0,DropINTable!AH54,DropINTable!AG54)</f>
        <v>1010.3652974881901</v>
      </c>
      <c r="J65" s="46">
        <f>IF(+DropINTable!AH54=0,DropINTable!AI54,DropINTable!AH54)</f>
        <v>1098.2074301142122</v>
      </c>
      <c r="K65" s="46">
        <f>IF(+DropINTable!AI54=0,DropINTable!AJ54,DropINTable!AI54)</f>
        <v>1172.7694178320057</v>
      </c>
      <c r="L65" s="46">
        <f>IF(+DropINTable!AJ54=0,DropINTable!AK54,DropINTable!AJ54)</f>
        <v>1262.3491379403467</v>
      </c>
      <c r="M65" s="46">
        <f>IF(+DropINTable!AK54=0,DropINTable!AL54,DropINTable!AK54)</f>
        <v>1309.7756468790087</v>
      </c>
      <c r="N65" s="46">
        <f>IF(+DropINTable!AL54=0,DropINTable!AM54,DropINTable!AL54)</f>
        <v>1365.2212680653797</v>
      </c>
      <c r="O65" s="46">
        <f>IF(+DropINTable!AM54=0,DropINTable!AN54,DropINTable!AM54)</f>
        <v>1497.6330510473949</v>
      </c>
      <c r="P65" s="46">
        <f>IF(+DropINTable!AN54=0,DropINTable!AO54,DropINTable!AN54)</f>
        <v>1654.1524437958647</v>
      </c>
      <c r="Q65" s="46">
        <f>IF(+DropINTable!AO54=0,DropINTable!AP54,DropINTable!AO54)</f>
        <v>1691.4594097989911</v>
      </c>
      <c r="R65" s="46"/>
      <c r="S65" s="113"/>
      <c r="T65" s="113"/>
      <c r="U65" s="113"/>
      <c r="V65" s="113"/>
      <c r="W65" s="113"/>
      <c r="X65" s="113"/>
      <c r="Y65" s="113"/>
      <c r="Z65" s="113"/>
      <c r="AA65" s="113"/>
      <c r="AB65" s="113"/>
      <c r="AC65" s="113"/>
      <c r="AD65" s="113"/>
      <c r="AE65" s="113"/>
      <c r="AF65" s="113"/>
      <c r="AG65" s="113"/>
      <c r="AH65" s="113"/>
      <c r="AI65" s="113"/>
      <c r="AJ65" s="113"/>
      <c r="AK65" s="113"/>
      <c r="AL65" s="113"/>
      <c r="AM65" s="113"/>
      <c r="AN65" s="113"/>
    </row>
    <row r="66" spans="1:40" x14ac:dyDescent="0.2">
      <c r="B66" s="86" t="s">
        <v>1093</v>
      </c>
      <c r="C66" t="str">
        <f t="shared" ref="C66:C68" si="21">+CONCATENATE(A$61,B66)</f>
        <v>Melbourne2+4</v>
      </c>
      <c r="D66" s="46">
        <f>+D65+Per_child_accounting!$AD$41</f>
        <v>1000.7547249049062</v>
      </c>
      <c r="E66" s="46">
        <f>+E65+Per_child_accounting!$AD$41</f>
        <v>1000.7547249049062</v>
      </c>
      <c r="F66" s="46">
        <f>+F65+Per_child_accounting!AD$41</f>
        <v>1000.7547249049062</v>
      </c>
      <c r="G66" s="46">
        <f>+G65+Per_child_accounting!AE$41</f>
        <v>1000.7320115440489</v>
      </c>
      <c r="H66" s="46">
        <f>+H65+Per_child_accounting!AF$41</f>
        <v>1044.4865282962537</v>
      </c>
      <c r="I66" s="46">
        <f>+I65+Per_child_accounting!AG$41</f>
        <v>1104.9128762625801</v>
      </c>
      <c r="J66" s="46">
        <f>+J65+Per_child_accounting!AH$41</f>
        <v>1192.6721786520948</v>
      </c>
      <c r="K66" s="46">
        <f>+K65+Per_child_accounting!AI$41</f>
        <v>1267.163858111664</v>
      </c>
      <c r="L66" s="46">
        <f>+L65+Per_child_accounting!AJ$41</f>
        <v>1356.65910713833</v>
      </c>
      <c r="M66" s="46">
        <f>+M65+Per_child_accounting!AK$41</f>
        <v>1404.0408968607017</v>
      </c>
      <c r="N66" s="46">
        <f>+N65+Per_child_accounting!AL$41</f>
        <v>1459.4342336657933</v>
      </c>
      <c r="O66" s="46">
        <f>+O65+Per_child_accounting!AM$41</f>
        <v>1591.7211620850371</v>
      </c>
      <c r="P66" s="46">
        <f>+P65+Per_child_accounting!AN$41</f>
        <v>1748.0929648095289</v>
      </c>
      <c r="Q66" s="46">
        <f>+Q65+Per_child_accounting!AO$41</f>
        <v>1785.3647496794811</v>
      </c>
      <c r="R66" s="46"/>
      <c r="S66" s="113"/>
      <c r="T66" s="113"/>
      <c r="U66" s="113"/>
      <c r="V66" s="113"/>
      <c r="W66" s="113"/>
      <c r="X66" s="113"/>
      <c r="Y66" s="113"/>
      <c r="Z66" s="113"/>
      <c r="AA66" s="113"/>
      <c r="AB66" s="113"/>
      <c r="AC66" s="113"/>
      <c r="AD66" s="113"/>
      <c r="AE66" s="113"/>
      <c r="AF66" s="113"/>
      <c r="AG66" s="113"/>
      <c r="AH66" s="113"/>
      <c r="AI66" s="113"/>
      <c r="AJ66" s="113"/>
      <c r="AK66" s="113"/>
      <c r="AL66" s="113"/>
      <c r="AM66" s="113"/>
      <c r="AN66" s="113"/>
    </row>
    <row r="67" spans="1:40" x14ac:dyDescent="0.2">
      <c r="B67" s="86" t="s">
        <v>1094</v>
      </c>
      <c r="C67" t="str">
        <f t="shared" si="21"/>
        <v>Melbourne2+5</v>
      </c>
      <c r="D67" s="46">
        <f>+D66+Per_child_accounting!$AD$41</f>
        <v>1095.423345612601</v>
      </c>
      <c r="E67" s="46">
        <f>+E66+Per_child_accounting!$AD$41</f>
        <v>1095.423345612601</v>
      </c>
      <c r="F67" s="46">
        <f>+F66+Per_child_accounting!$AD$41</f>
        <v>1095.423345612601</v>
      </c>
      <c r="G67" s="46">
        <f>+G66+Per_child_accounting!AE$41</f>
        <v>1095.3779188908863</v>
      </c>
      <c r="H67" s="46">
        <f>+H66+Per_child_accounting!AF$41</f>
        <v>1139.091137895251</v>
      </c>
      <c r="I67" s="46">
        <f>+I66+Per_child_accounting!AG$41</f>
        <v>1199.46045503697</v>
      </c>
      <c r="J67" s="46">
        <f>+J66+Per_child_accounting!AH$41</f>
        <v>1287.1369271899773</v>
      </c>
      <c r="K67" s="46">
        <f>+K66+Per_child_accounting!AI$41</f>
        <v>1361.5582983913223</v>
      </c>
      <c r="L67" s="46">
        <f>+L66+Per_child_accounting!AJ$41</f>
        <v>1450.9690763363133</v>
      </c>
      <c r="M67" s="46">
        <f>+M66+Per_child_accounting!AK$41</f>
        <v>1498.3061468423946</v>
      </c>
      <c r="N67" s="46">
        <f>+N66+Per_child_accounting!AL$41</f>
        <v>1553.6471992662068</v>
      </c>
      <c r="O67" s="46">
        <f>+O66+Per_child_accounting!AM$41</f>
        <v>1685.8092731226793</v>
      </c>
      <c r="P67" s="46">
        <f>+P66+Per_child_accounting!AN$41</f>
        <v>1842.0334858231931</v>
      </c>
      <c r="Q67" s="46">
        <f>+Q66+Per_child_accounting!AO$41</f>
        <v>1879.270089559971</v>
      </c>
      <c r="R67" s="46"/>
      <c r="S67" s="113"/>
      <c r="T67" s="113"/>
      <c r="U67" s="113"/>
      <c r="V67" s="113"/>
      <c r="W67" s="113"/>
      <c r="X67" s="113"/>
      <c r="Y67" s="113"/>
      <c r="Z67" s="113"/>
      <c r="AA67" s="113"/>
      <c r="AB67" s="113"/>
      <c r="AC67" s="113"/>
      <c r="AD67" s="113"/>
      <c r="AE67" s="113"/>
      <c r="AF67" s="113"/>
      <c r="AG67" s="113"/>
      <c r="AH67" s="113"/>
      <c r="AI67" s="113"/>
      <c r="AJ67" s="113"/>
      <c r="AK67" s="113"/>
      <c r="AL67" s="113"/>
      <c r="AM67" s="113"/>
      <c r="AN67" s="113"/>
    </row>
    <row r="68" spans="1:40" x14ac:dyDescent="0.2">
      <c r="B68" s="86" t="s">
        <v>1095</v>
      </c>
      <c r="C68" t="str">
        <f t="shared" si="21"/>
        <v>Melbourne2+6</v>
      </c>
      <c r="D68" s="46">
        <f>+D67+Per_child_accounting!$AD$41</f>
        <v>1190.0919663202958</v>
      </c>
      <c r="E68" s="46">
        <f>+E67+Per_child_accounting!$AD$41</f>
        <v>1190.0919663202958</v>
      </c>
      <c r="F68" s="46">
        <f>+F67+Per_child_accounting!$AD$41</f>
        <v>1190.0919663202958</v>
      </c>
      <c r="G68" s="46">
        <f>+G67+Per_child_accounting!AE$41</f>
        <v>1190.0238262377238</v>
      </c>
      <c r="H68" s="46">
        <f>+H67+Per_child_accounting!AF$41</f>
        <v>1233.6957474942483</v>
      </c>
      <c r="I68" s="46">
        <f>+I67+Per_child_accounting!AG$41</f>
        <v>1294.0080338113598</v>
      </c>
      <c r="J68" s="46">
        <f>+J67+Per_child_accounting!AH$41</f>
        <v>1381.6016757278599</v>
      </c>
      <c r="K68" s="46">
        <f>+K67+Per_child_accounting!AI$41</f>
        <v>1455.9527386709806</v>
      </c>
      <c r="L68" s="46">
        <f>+L67+Per_child_accounting!AJ$41</f>
        <v>1545.2790455342965</v>
      </c>
      <c r="M68" s="46">
        <f>+M67+Per_child_accounting!AK$41</f>
        <v>1592.5713968240875</v>
      </c>
      <c r="N68" s="46">
        <f>+N67+Per_child_accounting!AL$41</f>
        <v>1647.8601648666204</v>
      </c>
      <c r="O68" s="46">
        <f>+O67+Per_child_accounting!AM$41</f>
        <v>1779.8973841603215</v>
      </c>
      <c r="P68" s="46">
        <f>+P67+Per_child_accounting!AN$41</f>
        <v>1935.9740068368574</v>
      </c>
      <c r="Q68" s="46">
        <f>+Q67+Per_child_accounting!AO$41</f>
        <v>1973.1754294404609</v>
      </c>
      <c r="R68" s="46"/>
      <c r="S68" s="113"/>
      <c r="T68" s="113"/>
      <c r="U68" s="113"/>
      <c r="V68" s="113"/>
      <c r="W68" s="113"/>
      <c r="X68" s="113"/>
      <c r="Y68" s="113"/>
      <c r="Z68" s="113"/>
      <c r="AA68" s="113"/>
      <c r="AB68" s="113"/>
      <c r="AC68" s="113"/>
      <c r="AD68" s="113"/>
      <c r="AE68" s="113"/>
      <c r="AF68" s="113"/>
      <c r="AG68" s="113"/>
      <c r="AH68" s="113"/>
      <c r="AI68" s="113"/>
      <c r="AJ68" s="113"/>
      <c r="AK68" s="113"/>
      <c r="AL68" s="113"/>
      <c r="AM68" s="113"/>
      <c r="AN68" s="113"/>
    </row>
    <row r="69" spans="1:40" x14ac:dyDescent="0.2">
      <c r="B69" s="86"/>
      <c r="D69" s="46"/>
      <c r="E69" s="46"/>
      <c r="F69" s="46"/>
      <c r="G69" s="46"/>
      <c r="H69" s="46"/>
      <c r="I69" s="46"/>
      <c r="J69" s="46"/>
      <c r="K69" s="46"/>
      <c r="L69" s="46"/>
      <c r="M69" s="46"/>
      <c r="N69" s="46"/>
      <c r="O69" s="46"/>
      <c r="P69" s="46"/>
      <c r="Q69" s="46"/>
      <c r="R69" s="46"/>
      <c r="S69" s="113"/>
      <c r="T69" s="113"/>
      <c r="U69" s="113"/>
      <c r="V69" s="113"/>
      <c r="W69" s="113"/>
      <c r="X69" s="113"/>
      <c r="Y69" s="113"/>
      <c r="Z69" s="113"/>
      <c r="AA69" s="113"/>
      <c r="AB69" s="113"/>
      <c r="AC69" s="113"/>
      <c r="AD69" s="113"/>
      <c r="AE69" s="113"/>
      <c r="AF69" s="113"/>
      <c r="AG69" s="113"/>
      <c r="AH69" s="113"/>
      <c r="AI69" s="113"/>
      <c r="AJ69" s="113"/>
      <c r="AK69" s="113"/>
      <c r="AL69" s="113"/>
      <c r="AM69" s="113"/>
      <c r="AN69" s="113"/>
    </row>
    <row r="70" spans="1:40" x14ac:dyDescent="0.2">
      <c r="A70" t="s">
        <v>1096</v>
      </c>
      <c r="B70" s="86" t="s">
        <v>1097</v>
      </c>
      <c r="C70" t="str">
        <f t="shared" si="18"/>
        <v>Melbourne1+0</v>
      </c>
      <c r="D70" s="46">
        <f>IF(+DropINTable!AB56=0,DropINTable!AC56,DropINTable!AB56)</f>
        <v>320.08640078508313</v>
      </c>
      <c r="E70" s="46">
        <f>IF(+DropINTable!AC56=0,DropINTable!AD56,DropINTable!AC56)</f>
        <v>337.22765582197434</v>
      </c>
      <c r="F70" s="46">
        <f>IF(+DropINTable!AD56=0,DropINTable!AE56,DropINTable!AD56)</f>
        <v>353.37598018601835</v>
      </c>
      <c r="G70" s="46">
        <f>IF(+DropINTable!AE56=0,DropINTable!AF56,DropINTable!AE56)</f>
        <v>377.07976306781666</v>
      </c>
      <c r="H70" s="46">
        <f>IF(+DropINTable!AF56=0,DropINTable!AG56,DropINTable!AF56)</f>
        <v>420.18054361258197</v>
      </c>
      <c r="I70" s="46">
        <f>IF(+DropINTable!AG56=0,DropINTable!AH56,DropINTable!AG56)</f>
        <v>479.70405737925381</v>
      </c>
      <c r="J70" s="46">
        <f>IF(+DropINTable!AH56=0,DropINTable!AI56,DropINTable!AH56)</f>
        <v>566.15214795177519</v>
      </c>
      <c r="K70" s="46">
        <f>IF(+DropINTable!AI56=0,DropINTable!AJ56,DropINTable!AI56)</f>
        <v>639.53084454011184</v>
      </c>
      <c r="L70" s="46">
        <f>IF(+DropINTable!AJ56=0,DropINTable!AK56,DropINTable!AJ56)</f>
        <v>727.68894485925205</v>
      </c>
      <c r="M70" s="46">
        <f>IF(+DropINTable!AK56=0,DropINTable!AL56,DropINTable!AK56)</f>
        <v>774.36280351395283</v>
      </c>
      <c r="N70" s="46">
        <f>IF(+DropINTable!AL56=0,DropINTable!AM56,DropINTable!AL56)</f>
        <v>828.92850594429024</v>
      </c>
      <c r="O70" s="46">
        <f>IF(+DropINTable!AM56=0,DropINTable!AN56,DropINTable!AM56)</f>
        <v>959.23893081063022</v>
      </c>
      <c r="P70" s="46">
        <f>IF(+DropINTable!AN56=0,DropINTable!AO56,DropINTable!AN56)</f>
        <v>1113.2743808126679</v>
      </c>
      <c r="Q70" s="46">
        <f>IF(+DropINTable!AO56=0,DropINTable!AP56,DropINTable!AO56)</f>
        <v>1149.9892851888746</v>
      </c>
      <c r="R70" s="46"/>
      <c r="S70" s="113"/>
      <c r="T70" s="113"/>
      <c r="U70" s="113"/>
      <c r="V70" s="113"/>
      <c r="W70" s="113"/>
      <c r="X70" s="113"/>
      <c r="Y70" s="113"/>
      <c r="Z70" s="113"/>
      <c r="AA70" s="113"/>
      <c r="AB70" s="113"/>
      <c r="AC70" s="113"/>
      <c r="AD70" s="113"/>
      <c r="AE70" s="113"/>
      <c r="AF70" s="113"/>
      <c r="AG70" s="113"/>
      <c r="AH70" s="113"/>
      <c r="AI70" s="113"/>
      <c r="AJ70" s="113"/>
      <c r="AK70" s="113"/>
      <c r="AL70" s="113"/>
      <c r="AM70" s="113"/>
      <c r="AN70" s="113"/>
    </row>
    <row r="71" spans="1:40" x14ac:dyDescent="0.2">
      <c r="A71" t="s">
        <v>1098</v>
      </c>
      <c r="B71" s="86" t="s">
        <v>1099</v>
      </c>
      <c r="C71" t="str">
        <f t="shared" si="18"/>
        <v>Melbourne1+1</v>
      </c>
      <c r="D71" s="46">
        <f>IF(+DropINTable!AB57=0,DropINTable!AC57,DropINTable!AB57)</f>
        <v>436.78450933054876</v>
      </c>
      <c r="E71" s="46">
        <f>IF(+DropINTable!AC57=0,DropINTable!AD57,DropINTable!AC57)</f>
        <v>436.78450933054876</v>
      </c>
      <c r="F71" s="46">
        <f>IF(+DropINTable!AD57=0,DropINTable!AE57,DropINTable!AD57)</f>
        <v>452.83229772385727</v>
      </c>
      <c r="G71" s="46">
        <f>IF(+DropINTable!AE57=0,DropINTable!AF57,DropINTable!AE57)</f>
        <v>476.38850585643871</v>
      </c>
      <c r="H71" s="46">
        <f>IF(+DropINTable!AF57=0,DropINTable!AG57,DropINTable!AF57)</f>
        <v>519.22095186034426</v>
      </c>
      <c r="I71" s="46">
        <f>IF(+DropINTable!AG57=0,DropINTable!AH57,DropINTable!AG57)</f>
        <v>578.37388672843088</v>
      </c>
      <c r="J71" s="46">
        <f>IF(+DropINTable!AH57=0,DropINTable!AI57,DropINTable!AH57)</f>
        <v>664.2837715143512</v>
      </c>
      <c r="K71" s="46">
        <f>IF(+DropINTable!AI57=0,DropINTable!AJ57,DropINTable!AI57)</f>
        <v>737.20562926631771</v>
      </c>
      <c r="L71" s="46">
        <f>IF(+DropINTable!AJ57=0,DropINTable!AK57,DropINTable!AJ57)</f>
        <v>824.81487904706307</v>
      </c>
      <c r="M71" s="46">
        <f>IF(+DropINTable!AK57=0,DropINTable!AL57,DropINTable!AK57)</f>
        <v>871.19815706900363</v>
      </c>
      <c r="N71" s="46">
        <f>IF(+DropINTable!AL57=0,DropINTable!AM57,DropINTable!AL57)</f>
        <v>925.42414419200361</v>
      </c>
      <c r="O71" s="46">
        <f>IF(+DropINTable!AM57=0,DropINTable!AN57,DropINTable!AM57)</f>
        <v>1054.9232898632235</v>
      </c>
      <c r="P71" s="46">
        <f>IF(+DropINTable!AN57=0,DropINTable!AO57,DropINTable!AN57)</f>
        <v>1207.9997507161838</v>
      </c>
      <c r="Q71" s="46">
        <f>IF(+DropINTable!AO57=0,DropINTable!AP57,DropINTable!AO57)</f>
        <v>1244.48607931948</v>
      </c>
      <c r="R71" s="46"/>
      <c r="S71" s="113"/>
      <c r="T71" s="113"/>
      <c r="U71" s="113"/>
      <c r="V71" s="113"/>
      <c r="W71" s="113"/>
      <c r="X71" s="113"/>
      <c r="Y71" s="113"/>
      <c r="Z71" s="113"/>
      <c r="AA71" s="113"/>
      <c r="AB71" s="113"/>
      <c r="AC71" s="113"/>
      <c r="AD71" s="113"/>
      <c r="AE71" s="113"/>
      <c r="AF71" s="113"/>
      <c r="AG71" s="113"/>
      <c r="AH71" s="113"/>
      <c r="AI71" s="113"/>
      <c r="AJ71" s="113"/>
      <c r="AK71" s="113"/>
      <c r="AL71" s="113"/>
      <c r="AM71" s="113"/>
      <c r="AN71" s="113"/>
    </row>
    <row r="72" spans="1:40" x14ac:dyDescent="0.2">
      <c r="A72" t="s">
        <v>1100</v>
      </c>
      <c r="B72" s="86" t="s">
        <v>1101</v>
      </c>
      <c r="C72" t="str">
        <f t="shared" si="18"/>
        <v>Melbourne1+2</v>
      </c>
      <c r="D72" s="46">
        <f>IF(+DropINTable!AB58=0,DropINTable!AC58,DropINTable!AB58)</f>
        <v>554.53829093350362</v>
      </c>
      <c r="E72" s="46">
        <f>IF(+DropINTable!AC58=0,DropINTable!AD58,DropINTable!AC58)</f>
        <v>554.53829093350362</v>
      </c>
      <c r="F72" s="46">
        <f>IF(+DropINTable!AD58=0,DropINTable!AE58,DropINTable!AD58)</f>
        <v>570.59734337175178</v>
      </c>
      <c r="G72" s="46">
        <f>IF(+DropINTable!AE58=0,DropINTable!AF58,DropINTable!AE58)</f>
        <v>594.17009024993115</v>
      </c>
      <c r="H72" s="46">
        <f>IF(+DropINTable!AF58=0,DropINTable!AG58,DropINTable!AF58)</f>
        <v>637.03260324343398</v>
      </c>
      <c r="I72" s="46">
        <f>IF(+DropINTable!AG58=0,DropINTable!AH58,DropINTable!AG58)</f>
        <v>696.22706327285562</v>
      </c>
      <c r="J72" s="46">
        <f>IF(+DropINTable!AH58=0,DropINTable!AI58,DropINTable!AH58)</f>
        <v>782.19725758216487</v>
      </c>
      <c r="K72" s="46">
        <f>IF(+DropINTable!AI58=0,DropINTable!AJ58,DropINTable!AI58)</f>
        <v>855.17030649603646</v>
      </c>
      <c r="L72" s="46">
        <f>IF(+DropINTable!AJ58=0,DropINTable!AK58,DropINTable!AJ58)</f>
        <v>942.84106185123721</v>
      </c>
      <c r="M72" s="46">
        <f>IF(+DropINTable!AK58=0,DropINTable!AL58,DropINTable!AK58)</f>
        <v>989.25689615773365</v>
      </c>
      <c r="N72" s="46">
        <f>IF(+DropINTable!AL58=0,DropINTable!AM58,DropINTable!AL58)</f>
        <v>1043.5209550476811</v>
      </c>
      <c r="O72" s="46">
        <f>IF(+DropINTable!AM58=0,DropINTable!AN58,DropINTable!AM58)</f>
        <v>1173.1110075487766</v>
      </c>
      <c r="P72" s="46">
        <f>IF(+DropINTable!AN58=0,DropINTable!AO58,DropINTable!AN58)</f>
        <v>1326.2949307937668</v>
      </c>
      <c r="Q72" s="46">
        <f>IF(+DropINTable!AO58=0,DropINTable!AP58,DropINTable!AO58)</f>
        <v>1362.8068699158041</v>
      </c>
      <c r="R72" s="46"/>
      <c r="S72" s="113"/>
      <c r="T72" s="113"/>
      <c r="U72" s="113"/>
      <c r="V72" s="113"/>
      <c r="W72" s="113"/>
      <c r="X72" s="113"/>
      <c r="Y72" s="113"/>
      <c r="Z72" s="113"/>
      <c r="AA72" s="113"/>
      <c r="AB72" s="113"/>
      <c r="AC72" s="113"/>
      <c r="AD72" s="113"/>
      <c r="AE72" s="113"/>
      <c r="AF72" s="113"/>
      <c r="AG72" s="113"/>
      <c r="AH72" s="113"/>
      <c r="AI72" s="113"/>
      <c r="AJ72" s="113"/>
      <c r="AK72" s="113"/>
      <c r="AL72" s="113"/>
      <c r="AM72" s="113"/>
      <c r="AN72" s="113"/>
    </row>
    <row r="73" spans="1:40" x14ac:dyDescent="0.2">
      <c r="A73" t="s">
        <v>1102</v>
      </c>
      <c r="B73" s="86" t="s">
        <v>1103</v>
      </c>
      <c r="C73" t="str">
        <f t="shared" si="18"/>
        <v>Melbourne1+3</v>
      </c>
      <c r="D73" s="46">
        <f t="shared" ref="D73" si="22">+E73</f>
        <v>688.36238901964634</v>
      </c>
      <c r="E73" s="46">
        <f>IF(+DropINTable!AC59=0,DropINTable!AD59,DropINTable!AC59)</f>
        <v>688.36238901964634</v>
      </c>
      <c r="F73" s="46">
        <f>IF(+DropINTable!AD59=0,DropINTable!AE59,DropINTable!AD59)</f>
        <v>688.36238901964634</v>
      </c>
      <c r="G73" s="46">
        <f>IF(+DropINTable!AE59=0,DropINTable!AF59,DropINTable!AE59)</f>
        <v>711.95167464342353</v>
      </c>
      <c r="H73" s="46">
        <f>IF(+DropINTable!AF59=0,DropINTable!AG59,DropINTable!AF59)</f>
        <v>754.84425462652371</v>
      </c>
      <c r="I73" s="46">
        <f>IF(+DropINTable!AG59=0,DropINTable!AH59,DropINTable!AG59)</f>
        <v>814.08023981728036</v>
      </c>
      <c r="J73" s="46">
        <f>IF(+DropINTable!AH59=0,DropINTable!AI59,DropINTable!AH59)</f>
        <v>900.11074364997853</v>
      </c>
      <c r="K73" s="46">
        <f>IF(+DropINTable!AI59=0,DropINTable!AJ59,DropINTable!AI59)</f>
        <v>973.13498372575521</v>
      </c>
      <c r="L73" s="46">
        <f>IF(+DropINTable!AJ59=0,DropINTable!AK59,DropINTable!AJ59)</f>
        <v>1060.8672446554115</v>
      </c>
      <c r="M73" s="46">
        <f>IF(+DropINTable!AK59=0,DropINTable!AL59,DropINTable!AK59)</f>
        <v>1107.3156352464637</v>
      </c>
      <c r="N73" s="46">
        <f>IF(+DropINTable!AL59=0,DropINTable!AM59,DropINTable!AL59)</f>
        <v>1161.6177659033588</v>
      </c>
      <c r="O73" s="46">
        <f>IF(+DropINTable!AM59=0,DropINTable!AN59,DropINTable!AM59)</f>
        <v>1291.2987252343296</v>
      </c>
      <c r="P73" s="46">
        <f>IF(+DropINTable!AN59=0,DropINTable!AO59,DropINTable!AN59)</f>
        <v>1444.5901108713497</v>
      </c>
      <c r="Q73" s="46">
        <f>IF(+DropINTable!AO59=0,DropINTable!AP59,DropINTable!AO59)</f>
        <v>1481.1276605121282</v>
      </c>
      <c r="R73" s="46"/>
      <c r="S73" s="113"/>
      <c r="T73" s="113"/>
      <c r="U73" s="113"/>
      <c r="V73" s="113"/>
      <c r="W73" s="113"/>
      <c r="X73" s="113"/>
      <c r="Y73" s="113"/>
      <c r="Z73" s="113"/>
      <c r="AA73" s="113"/>
      <c r="AB73" s="113"/>
      <c r="AC73" s="113"/>
      <c r="AD73" s="113"/>
      <c r="AE73" s="113"/>
      <c r="AF73" s="113"/>
      <c r="AG73" s="113"/>
      <c r="AH73" s="113"/>
      <c r="AI73" s="113"/>
      <c r="AJ73" s="113"/>
      <c r="AK73" s="113"/>
      <c r="AL73" s="113"/>
      <c r="AM73" s="113"/>
      <c r="AN73" s="113"/>
    </row>
    <row r="74" spans="1:40" x14ac:dyDescent="0.2">
      <c r="B74" s="86" t="s">
        <v>1104</v>
      </c>
      <c r="C74" t="str">
        <f t="shared" ref="C74:C76" si="23">+CONCATENATE(A$61,B74)</f>
        <v>Melbourne1+4</v>
      </c>
      <c r="D74" s="46">
        <f>+D73+Per_child_accounting!AC$44</f>
        <v>787.91924252822082</v>
      </c>
      <c r="E74" s="46">
        <f>+E73+Per_child_accounting!AC$44</f>
        <v>787.91924252822082</v>
      </c>
      <c r="F74" s="46">
        <f>+F73+Per_child_accounting!AD$44</f>
        <v>787.81870655748526</v>
      </c>
      <c r="G74" s="46">
        <f>+G73+Per_child_accounting!AE$44</f>
        <v>811.26041743204564</v>
      </c>
      <c r="H74" s="46">
        <f>+H73+Per_child_accounting!AF$44</f>
        <v>853.88466287428605</v>
      </c>
      <c r="I74" s="46">
        <f>+I73+Per_child_accounting!AG$44</f>
        <v>912.75006916645748</v>
      </c>
      <c r="J74" s="46">
        <f>+J73+Per_child_accounting!AH$44</f>
        <v>998.24236721255454</v>
      </c>
      <c r="K74" s="46">
        <f>+K73+Per_child_accounting!AI$44</f>
        <v>1070.8097684519612</v>
      </c>
      <c r="L74" s="46">
        <f>+L73+Per_child_accounting!AJ$44</f>
        <v>1157.9931788432225</v>
      </c>
      <c r="M74" s="46">
        <f>+M73+Per_child_accounting!AK$44</f>
        <v>1204.1509888015144</v>
      </c>
      <c r="N74" s="46">
        <f>+N73+Per_child_accounting!AL$44</f>
        <v>1258.1134041510722</v>
      </c>
      <c r="O74" s="46">
        <f>+O73+Per_child_accounting!AM$44</f>
        <v>1386.9830842869228</v>
      </c>
      <c r="P74" s="46">
        <f>+P73+Per_child_accounting!AN$44</f>
        <v>1539.3154807748656</v>
      </c>
      <c r="Q74" s="46">
        <f>+Q73+Per_child_accounting!AO$44</f>
        <v>1575.6244546427336</v>
      </c>
      <c r="R74" s="46"/>
      <c r="S74" s="113"/>
      <c r="T74" s="113"/>
      <c r="U74" s="113"/>
      <c r="V74" s="113"/>
      <c r="W74" s="113"/>
      <c r="X74" s="113"/>
      <c r="Y74" s="113"/>
      <c r="Z74" s="113"/>
      <c r="AA74" s="113"/>
      <c r="AB74" s="113"/>
      <c r="AC74" s="113"/>
      <c r="AD74" s="113"/>
      <c r="AE74" s="113"/>
      <c r="AF74" s="113"/>
      <c r="AG74" s="113"/>
      <c r="AH74" s="113"/>
      <c r="AI74" s="113"/>
      <c r="AJ74" s="113"/>
      <c r="AK74" s="113"/>
      <c r="AL74" s="113"/>
      <c r="AM74" s="113"/>
      <c r="AN74" s="113"/>
    </row>
    <row r="75" spans="1:40" x14ac:dyDescent="0.2">
      <c r="B75" s="86" t="s">
        <v>1105</v>
      </c>
      <c r="C75" t="str">
        <f t="shared" si="23"/>
        <v>Melbourne1+5</v>
      </c>
      <c r="D75" s="46">
        <f>+D74+Per_child_accounting!AC$44</f>
        <v>887.4760960367953</v>
      </c>
      <c r="E75" s="46">
        <f>+E74+Per_child_accounting!AC$44</f>
        <v>887.4760960367953</v>
      </c>
      <c r="F75" s="46">
        <f>+F74+Per_child_accounting!AD$44</f>
        <v>887.27502409532417</v>
      </c>
      <c r="G75" s="46">
        <f>+G74+Per_child_accounting!AE$44</f>
        <v>910.56916022066775</v>
      </c>
      <c r="H75" s="46">
        <f>+H74+Per_child_accounting!AF$44</f>
        <v>952.92507112204839</v>
      </c>
      <c r="I75" s="46">
        <f>+I74+Per_child_accounting!AG$44</f>
        <v>1011.4198985156345</v>
      </c>
      <c r="J75" s="46">
        <f>+J74+Per_child_accounting!AH$44</f>
        <v>1096.3739907751306</v>
      </c>
      <c r="K75" s="46">
        <f>+K74+Per_child_accounting!AI$44</f>
        <v>1168.4845531781671</v>
      </c>
      <c r="L75" s="46">
        <f>+L74+Per_child_accounting!AJ$44</f>
        <v>1255.1191130310335</v>
      </c>
      <c r="M75" s="46">
        <f>+M74+Per_child_accounting!AK$44</f>
        <v>1300.9863423565653</v>
      </c>
      <c r="N75" s="46">
        <f>+N74+Per_child_accounting!AL$44</f>
        <v>1354.6090423987857</v>
      </c>
      <c r="O75" s="46">
        <f>+O74+Per_child_accounting!AM$44</f>
        <v>1482.667443339516</v>
      </c>
      <c r="P75" s="46">
        <f>+P74+Per_child_accounting!AN$44</f>
        <v>1634.0408506783815</v>
      </c>
      <c r="Q75" s="46">
        <f>+Q74+Per_child_accounting!AO$44</f>
        <v>1670.1212487733389</v>
      </c>
      <c r="R75" s="46"/>
      <c r="S75" s="113"/>
      <c r="T75" s="113"/>
      <c r="U75" s="113"/>
      <c r="V75" s="113"/>
      <c r="W75" s="113"/>
      <c r="X75" s="113"/>
      <c r="Y75" s="113"/>
      <c r="Z75" s="113"/>
      <c r="AA75" s="113"/>
      <c r="AB75" s="113"/>
      <c r="AC75" s="113"/>
      <c r="AD75" s="113"/>
      <c r="AE75" s="113"/>
      <c r="AF75" s="113"/>
      <c r="AG75" s="113"/>
      <c r="AH75" s="113"/>
      <c r="AI75" s="113"/>
      <c r="AJ75" s="113"/>
      <c r="AK75" s="113"/>
      <c r="AL75" s="113"/>
      <c r="AM75" s="113"/>
      <c r="AN75" s="113"/>
    </row>
    <row r="76" spans="1:40" x14ac:dyDescent="0.2">
      <c r="B76" s="86" t="s">
        <v>1106</v>
      </c>
      <c r="C76" t="str">
        <f t="shared" si="23"/>
        <v>Melbourne1+6</v>
      </c>
      <c r="D76" s="46">
        <f>+D75+Per_child_accounting!AC$44</f>
        <v>987.03294954536977</v>
      </c>
      <c r="E76" s="46">
        <f>+E75+Per_child_accounting!AC$44</f>
        <v>987.03294954536977</v>
      </c>
      <c r="F76" s="46">
        <f>+F75+Per_child_accounting!AD$44</f>
        <v>986.73134163316308</v>
      </c>
      <c r="G76" s="46">
        <f>+G75+Per_child_accounting!AE$44</f>
        <v>1009.8779030092899</v>
      </c>
      <c r="H76" s="46">
        <f>+H75+Per_child_accounting!AF$44</f>
        <v>1051.9654793698107</v>
      </c>
      <c r="I76" s="46">
        <f>+I75+Per_child_accounting!AG$44</f>
        <v>1110.0897278648115</v>
      </c>
      <c r="J76" s="46">
        <f>+J75+Per_child_accounting!AH$44</f>
        <v>1194.5056143377064</v>
      </c>
      <c r="K76" s="46">
        <f>+K75+Per_child_accounting!AI$44</f>
        <v>1266.1593379043729</v>
      </c>
      <c r="L76" s="46">
        <f>+L75+Per_child_accounting!AJ$44</f>
        <v>1352.2450472188445</v>
      </c>
      <c r="M76" s="46">
        <f>+M75+Per_child_accounting!AK$44</f>
        <v>1397.8216959116162</v>
      </c>
      <c r="N76" s="46">
        <f>+N75+Per_child_accounting!AL$44</f>
        <v>1451.1046806464992</v>
      </c>
      <c r="O76" s="46">
        <f>+O75+Per_child_accounting!AM$44</f>
        <v>1578.3518023921092</v>
      </c>
      <c r="P76" s="46">
        <f>+P75+Per_child_accounting!AN$44</f>
        <v>1728.7662205818974</v>
      </c>
      <c r="Q76" s="46">
        <f>+Q75+Per_child_accounting!AO$44</f>
        <v>1764.6180429039443</v>
      </c>
      <c r="R76" s="46"/>
      <c r="S76" s="113"/>
      <c r="T76" s="113"/>
      <c r="U76" s="113"/>
      <c r="V76" s="113"/>
      <c r="W76" s="113"/>
      <c r="X76" s="113"/>
      <c r="Y76" s="113"/>
      <c r="Z76" s="113"/>
      <c r="AA76" s="113"/>
      <c r="AB76" s="113"/>
      <c r="AC76" s="113"/>
      <c r="AD76" s="113"/>
      <c r="AE76" s="113"/>
      <c r="AF76" s="113"/>
      <c r="AG76" s="113"/>
      <c r="AH76" s="113"/>
      <c r="AI76" s="113"/>
      <c r="AJ76" s="113"/>
      <c r="AK76" s="113"/>
      <c r="AL76" s="113"/>
      <c r="AM76" s="113"/>
      <c r="AN76" s="113"/>
    </row>
    <row r="77" spans="1:40" x14ac:dyDescent="0.2">
      <c r="D77" s="46"/>
      <c r="E77" s="46"/>
      <c r="F77" s="46"/>
      <c r="G77" s="46"/>
      <c r="H77" s="46"/>
      <c r="I77" s="46"/>
      <c r="J77" s="46"/>
      <c r="K77" s="46"/>
      <c r="L77" s="46"/>
      <c r="M77" s="46"/>
      <c r="N77" s="46"/>
      <c r="O77" s="46"/>
      <c r="P77" s="46"/>
      <c r="Q77" s="46"/>
      <c r="R77" s="46"/>
      <c r="S77" s="113"/>
      <c r="T77" s="113"/>
      <c r="U77" s="113"/>
      <c r="V77" s="113"/>
      <c r="W77" s="113"/>
      <c r="X77" s="113"/>
      <c r="Y77" s="113"/>
      <c r="Z77" s="113"/>
      <c r="AA77" s="113"/>
      <c r="AB77" s="113"/>
      <c r="AC77" s="113"/>
      <c r="AD77" s="113"/>
      <c r="AE77" s="113"/>
      <c r="AF77" s="113"/>
      <c r="AG77" s="113"/>
      <c r="AH77" s="113"/>
      <c r="AI77" s="113"/>
      <c r="AJ77" s="113"/>
      <c r="AK77" s="113"/>
      <c r="AL77" s="113"/>
      <c r="AM77" s="113"/>
      <c r="AN77" s="113"/>
    </row>
    <row r="78" spans="1:40" ht="28.5" x14ac:dyDescent="0.45">
      <c r="A78" s="368" t="s">
        <v>239</v>
      </c>
      <c r="B78" s="368"/>
      <c r="C78" s="368"/>
      <c r="D78" s="46"/>
      <c r="E78" s="46"/>
      <c r="F78" s="46"/>
      <c r="G78" s="46"/>
      <c r="H78" s="46"/>
      <c r="I78" s="46"/>
      <c r="J78" s="46"/>
      <c r="K78" s="46"/>
      <c r="L78" s="46"/>
      <c r="M78" s="46"/>
      <c r="N78" s="46"/>
      <c r="O78" s="46"/>
      <c r="P78" s="46"/>
      <c r="Q78" s="46"/>
      <c r="R78" s="46"/>
      <c r="S78" s="113"/>
      <c r="T78" s="113"/>
      <c r="U78" s="113"/>
      <c r="V78" s="113"/>
      <c r="W78" s="113"/>
      <c r="X78" s="113"/>
      <c r="Y78" s="113"/>
      <c r="Z78" s="113"/>
      <c r="AA78" s="113"/>
      <c r="AB78" s="113"/>
      <c r="AC78" s="113"/>
      <c r="AD78" s="113"/>
      <c r="AE78" s="113"/>
      <c r="AF78" s="113"/>
      <c r="AG78" s="113"/>
      <c r="AH78" s="113"/>
      <c r="AI78" s="113"/>
      <c r="AJ78" s="113"/>
      <c r="AK78" s="113"/>
      <c r="AL78" s="113"/>
      <c r="AM78" s="113"/>
      <c r="AN78" s="113"/>
    </row>
    <row r="79" spans="1:40" x14ac:dyDescent="0.2">
      <c r="A79" t="s">
        <v>1085</v>
      </c>
      <c r="B79" s="86" t="s">
        <v>1086</v>
      </c>
      <c r="C79" t="str">
        <f>+CONCATENATE(A$78,B79)</f>
        <v>Balance of VIC2+0</v>
      </c>
      <c r="D79" s="46">
        <f>IF(+DropINTable!AB63=0,DropINTable!AC63,DropINTable!AB63)</f>
        <v>664.24024087328621</v>
      </c>
      <c r="E79" s="46">
        <f>IF(+DropINTable!AC63=0,DropINTable!AD63,DropINTable!AC63)</f>
        <v>664.24024087328621</v>
      </c>
      <c r="F79" s="46">
        <f>IF(+DropINTable!AD63=0,DropINTable!AE63,DropINTable!AD63)</f>
        <v>680.54534493088477</v>
      </c>
      <c r="G79" s="46">
        <f>IF(+DropINTable!AE63=0,DropINTable!AF63,DropINTable!AE63)</f>
        <v>704.47925939022093</v>
      </c>
      <c r="H79" s="46">
        <f>IF(+DropINTable!AF63=0,DropINTable!AG63,DropINTable!AF63)</f>
        <v>747.99849247551595</v>
      </c>
      <c r="I79" s="46">
        <f>IF(+DropINTable!AG63=0,DropINTable!AH63,DropINTable!AG63)</f>
        <v>808.09990271769152</v>
      </c>
      <c r="J79" s="46">
        <f>IF(+DropINTable!AH63=0,DropINTable!AI63,DropINTable!AH63)</f>
        <v>895.38729068544671</v>
      </c>
      <c r="K79" s="46">
        <f>IF(+DropINTable!AI63=0,DropINTable!AJ63,DropINTable!AI63)</f>
        <v>969.47839970008783</v>
      </c>
      <c r="L79" s="46">
        <f>IF(+DropINTable!AJ63=0,DropINTable!AK63,DropINTable!AJ63)</f>
        <v>1058.4924003794586</v>
      </c>
      <c r="M79" s="46">
        <f>IF(+DropINTable!AK63=0,DropINTable!AL63,DropINTable!AK63)</f>
        <v>1105.6193998050958</v>
      </c>
      <c r="N79" s="46">
        <f>IF(+DropINTable!AL63=0,DropINTable!AM63,DropINTable!AL63)</f>
        <v>1160.7148658328688</v>
      </c>
      <c r="O79" s="46">
        <f>IF(+DropINTable!AM63=0,DropINTable!AN63,DropINTable!AM63)</f>
        <v>1292.2904332625517</v>
      </c>
      <c r="P79" s="46">
        <f>IF(+DropINTable!AN63=0,DropINTable!AO63,DropINTable!AN63)</f>
        <v>1447.8213666736128</v>
      </c>
      <c r="Q79" s="46">
        <f>IF(+DropINTable!AO63=0,DropINTable!AP63,DropINTable!AO63)</f>
        <v>1484.8927274629687</v>
      </c>
      <c r="R79" s="46"/>
      <c r="S79" s="113"/>
      <c r="T79" s="113"/>
      <c r="U79" s="113"/>
      <c r="V79" s="113"/>
      <c r="W79" s="113"/>
      <c r="X79" s="113"/>
      <c r="Y79" s="113"/>
      <c r="Z79" s="113"/>
      <c r="AA79" s="113"/>
      <c r="AB79" s="113"/>
      <c r="AC79" s="113"/>
      <c r="AD79" s="113"/>
      <c r="AE79" s="113"/>
      <c r="AF79" s="113"/>
      <c r="AG79" s="113"/>
      <c r="AH79" s="113"/>
      <c r="AI79" s="113"/>
      <c r="AJ79" s="113"/>
      <c r="AK79" s="113"/>
      <c r="AL79" s="113"/>
      <c r="AM79" s="113"/>
      <c r="AN79" s="113"/>
    </row>
    <row r="80" spans="1:40" x14ac:dyDescent="0.2">
      <c r="A80" t="s">
        <v>1087</v>
      </c>
      <c r="B80" s="86" t="s">
        <v>1088</v>
      </c>
      <c r="C80" t="str">
        <f t="shared" ref="C80:C90" si="24">+CONCATENATE(A$78,B80)</f>
        <v>Balance of VIC2+1</v>
      </c>
      <c r="D80" s="46">
        <f t="shared" ref="D80:D81" si="25">+E80</f>
        <v>775.17552086055559</v>
      </c>
      <c r="E80" s="46">
        <f>IF(+DropINTable!AC64=0,DropINTable!AD64,DropINTable!AC64)</f>
        <v>775.17552086055559</v>
      </c>
      <c r="F80" s="46">
        <f>IF(+DropINTable!AD64=0,DropINTable!AE64,DropINTable!AD64)</f>
        <v>775.17552086055559</v>
      </c>
      <c r="G80" s="46">
        <f>IF(+DropINTable!AE64=0,DropINTable!AF64,DropINTable!AE64)</f>
        <v>799.08672456508316</v>
      </c>
      <c r="H80" s="46">
        <f>IF(+DropINTable!AF64=0,DropINTable!AG64,DropINTable!AF64)</f>
        <v>842.56466176744209</v>
      </c>
      <c r="I80" s="46">
        <f>IF(+DropINTable!AG64=0,DropINTable!AH64,DropINTable!AG64)</f>
        <v>902.60903706683894</v>
      </c>
      <c r="J80" s="46">
        <f>IF(+DropINTable!AH64=0,DropINTable!AI64,DropINTable!AH64)</f>
        <v>989.81359451399976</v>
      </c>
      <c r="K80" s="46">
        <f>IF(+DropINTable!AI64=0,DropINTable!AJ64,DropINTable!AI64)</f>
        <v>1063.8343941123196</v>
      </c>
      <c r="L80" s="46">
        <f>IF(+DropINTable!AJ64=0,DropINTable!AK64,DropINTable!AJ64)</f>
        <v>1152.7639296097516</v>
      </c>
      <c r="M80" s="46">
        <f>IF(+DropINTable!AK64=0,DropINTable!AL64,DropINTable!AK64)</f>
        <v>1199.846205186898</v>
      </c>
      <c r="N80" s="46">
        <f>IF(+DropINTable!AL64=0,DropINTable!AM64,DropINTable!AL64)</f>
        <v>1254.8893880609912</v>
      </c>
      <c r="O80" s="46">
        <f>IF(+DropINTable!AM64=0,DropINTable!AN64,DropINTable!AM64)</f>
        <v>1386.3400986919037</v>
      </c>
      <c r="P80" s="46">
        <f>IF(+DropINTable!AN64=0,DropINTable!AO64,DropINTable!AN64)</f>
        <v>1541.7234418740968</v>
      </c>
      <c r="Q80" s="46">
        <f>IF(+DropINTable!AO64=0,DropINTable!AP64,DropINTable!AO64)</f>
        <v>1578.7596235008721</v>
      </c>
      <c r="R80" s="46"/>
      <c r="S80" s="113"/>
      <c r="T80" s="113"/>
      <c r="U80" s="113"/>
      <c r="V80" s="113"/>
      <c r="W80" s="113"/>
      <c r="X80" s="113"/>
      <c r="Y80" s="113"/>
      <c r="Z80" s="113"/>
      <c r="AA80" s="113"/>
      <c r="AB80" s="113"/>
      <c r="AC80" s="113"/>
      <c r="AD80" s="113"/>
      <c r="AE80" s="113"/>
      <c r="AF80" s="113"/>
      <c r="AG80" s="113"/>
      <c r="AH80" s="113"/>
      <c r="AI80" s="113"/>
      <c r="AJ80" s="113"/>
      <c r="AK80" s="113"/>
      <c r="AL80" s="113"/>
      <c r="AM80" s="113"/>
      <c r="AN80" s="113"/>
    </row>
    <row r="81" spans="1:40" x14ac:dyDescent="0.2">
      <c r="A81" t="s">
        <v>1089</v>
      </c>
      <c r="B81" s="86" t="s">
        <v>1090</v>
      </c>
      <c r="C81" t="str">
        <f t="shared" si="24"/>
        <v>Balance of VIC2+2</v>
      </c>
      <c r="D81" s="46">
        <f t="shared" si="25"/>
        <v>853.63807212132099</v>
      </c>
      <c r="E81" s="46">
        <f>IF(+DropINTable!AC65=0,DropINTable!AD65,DropINTable!AC65)</f>
        <v>853.63807212132099</v>
      </c>
      <c r="F81" s="46">
        <f>IF(+DropINTable!AD65=0,DropINTable!AE65,DropINTable!AD65)</f>
        <v>853.63807212132099</v>
      </c>
      <c r="G81" s="46">
        <f>IF(+DropINTable!AE65=0,DropINTable!AF65,DropINTable!AE65)</f>
        <v>877.64244128080361</v>
      </c>
      <c r="H81" s="46">
        <f>IF(+DropINTable!AF65=0,DropINTable!AG65,DropINTable!AF65)</f>
        <v>921.28978519975442</v>
      </c>
      <c r="I81" s="46">
        <f>IF(+DropINTable!AG65=0,DropINTable!AH65,DropINTable!AG65)</f>
        <v>981.56811837787268</v>
      </c>
      <c r="J81" s="46">
        <f>IF(+DropINTable!AH65=0,DropINTable!AI65,DropINTable!AH65)</f>
        <v>1069.1124578565439</v>
      </c>
      <c r="K81" s="46">
        <f>IF(+DropINTable!AI65=0,DropINTable!AJ65,DropINTable!AI65)</f>
        <v>1143.4216727880685</v>
      </c>
      <c r="L81" s="46">
        <f>IF(+DropINTable!AJ65=0,DropINTable!AK65,DropINTable!AJ65)</f>
        <v>1232.6977073110907</v>
      </c>
      <c r="M81" s="46">
        <f>IF(+DropINTable!AK65=0,DropINTable!AL65,DropINTable!AK65)</f>
        <v>1279.9634386485538</v>
      </c>
      <c r="N81" s="46">
        <f>IF(+DropINTable!AL65=0,DropINTable!AM65,DropINTable!AL65)</f>
        <v>1335.2210878080843</v>
      </c>
      <c r="O81" s="46">
        <f>IF(+DropINTable!AM65=0,DropINTable!AN65,DropINTable!AM65)</f>
        <v>1467.1839818262411</v>
      </c>
      <c r="P81" s="46">
        <f>IF(+DropINTable!AN65=0,DropINTable!AO65,DropINTable!AN65)</f>
        <v>1623.1727590363919</v>
      </c>
      <c r="Q81" s="46">
        <f>IF(+DropINTable!AO65=0,DropINTable!AP65,DropINTable!AO65)</f>
        <v>1660.3532482564779</v>
      </c>
      <c r="R81" s="46"/>
      <c r="S81" s="113"/>
      <c r="T81" s="113"/>
      <c r="U81" s="113"/>
      <c r="V81" s="113"/>
      <c r="W81" s="113"/>
      <c r="X81" s="113"/>
      <c r="Y81" s="113"/>
      <c r="Z81" s="113"/>
      <c r="AA81" s="113"/>
      <c r="AB81" s="113"/>
      <c r="AC81" s="113"/>
      <c r="AD81" s="113"/>
      <c r="AE81" s="113"/>
      <c r="AF81" s="113"/>
      <c r="AG81" s="113"/>
      <c r="AH81" s="113"/>
      <c r="AI81" s="113"/>
      <c r="AJ81" s="113"/>
      <c r="AK81" s="113"/>
      <c r="AL81" s="113"/>
      <c r="AM81" s="113"/>
      <c r="AN81" s="113"/>
    </row>
    <row r="82" spans="1:40" x14ac:dyDescent="0.2">
      <c r="A82" t="s">
        <v>1091</v>
      </c>
      <c r="B82" s="86" t="s">
        <v>1092</v>
      </c>
      <c r="C82" t="str">
        <f t="shared" si="24"/>
        <v>Balance of VIC2+3</v>
      </c>
      <c r="D82" s="46">
        <f t="shared" ref="D82" si="26">+F82</f>
        <v>946.85496513885039</v>
      </c>
      <c r="E82" s="46">
        <f>+F82</f>
        <v>946.85496513885039</v>
      </c>
      <c r="F82" s="46">
        <f>IF(+DropINTable!AD66=0,DropINTable!AE66,DropINTable!AD66)</f>
        <v>946.85496513885039</v>
      </c>
      <c r="G82" s="46">
        <f>IF(+DropINTable!AE66=0,DropINTable!AF66,DropINTable!AE66)</f>
        <v>946.85496513885039</v>
      </c>
      <c r="H82" s="46">
        <f>IF(+DropINTable!AF66=0,DropINTable!AG66,DropINTable!AF66)</f>
        <v>990.65078063119461</v>
      </c>
      <c r="I82" s="46">
        <f>IF(+DropINTable!AG66=0,DropINTable!AH66,DropINTable!AG66)</f>
        <v>1051.1341580796059</v>
      </c>
      <c r="J82" s="46">
        <f>IF(+DropINTable!AH66=0,DropINTable!AI66,DropINTable!AH66)</f>
        <v>1138.9762945872685</v>
      </c>
      <c r="K82" s="46">
        <f>IF(+DropINTable!AI66=0,DropINTable!AJ66,DropINTable!AI66)</f>
        <v>1213.5382802037229</v>
      </c>
      <c r="L82" s="46">
        <f>IF(+DropINTable!AJ66=0,DropINTable!AK66,DropINTable!AJ66)</f>
        <v>1303.117999027912</v>
      </c>
      <c r="M82" s="46">
        <f>IF(+DropINTable!AK66=0,DropINTable!AL66,DropINTable!AK66)</f>
        <v>1350.5445099511721</v>
      </c>
      <c r="N82" s="46">
        <f>IF(+DropINTable!AL66=0,DropINTable!AM66,DropINTable!AL66)</f>
        <v>1405.9901277520523</v>
      </c>
      <c r="O82" s="46">
        <f>IF(+DropINTable!AM66=0,DropINTable!AN66,DropINTable!AM66)</f>
        <v>1538.4019128354064</v>
      </c>
      <c r="P82" s="46">
        <f>IF(+DropINTable!AN66=0,DropINTable!AO66,DropINTable!AN66)</f>
        <v>1694.9213054671352</v>
      </c>
      <c r="Q82" s="46">
        <f>IF(+DropINTable!AO66=0,DropINTable!AP66,DropINTable!AO66)</f>
        <v>1732.2282672675831</v>
      </c>
      <c r="R82" s="46"/>
      <c r="S82" s="113"/>
      <c r="T82" s="113"/>
      <c r="U82" s="113"/>
      <c r="V82" s="113"/>
      <c r="W82" s="113"/>
      <c r="X82" s="113"/>
      <c r="Y82" s="113"/>
      <c r="Z82" s="113"/>
      <c r="AA82" s="113"/>
      <c r="AB82" s="113"/>
      <c r="AC82" s="113"/>
      <c r="AD82" s="113"/>
      <c r="AE82" s="113"/>
      <c r="AF82" s="113"/>
      <c r="AG82" s="113"/>
      <c r="AH82" s="113"/>
      <c r="AI82" s="113"/>
      <c r="AJ82" s="113"/>
      <c r="AK82" s="113"/>
      <c r="AL82" s="113"/>
      <c r="AM82" s="113"/>
      <c r="AN82" s="113"/>
    </row>
    <row r="83" spans="1:40" x14ac:dyDescent="0.2">
      <c r="B83" s="86" t="s">
        <v>1093</v>
      </c>
      <c r="C83" t="str">
        <f t="shared" ref="C83:C85" si="27">+CONCATENATE(A$78,B83)</f>
        <v>Balance of VIC2+4</v>
      </c>
      <c r="D83" s="46">
        <f>+D82+Per_child_accounting!$AD$49</f>
        <v>1041.4851410685212</v>
      </c>
      <c r="E83" s="46">
        <f>+E82+Per_child_accounting!$AD$49</f>
        <v>1041.4851410685212</v>
      </c>
      <c r="F83" s="46">
        <f>+F82+Per_child_accounting!AD$49</f>
        <v>1041.4851410685212</v>
      </c>
      <c r="G83" s="46">
        <f>+G82+Per_child_accounting!AE$49</f>
        <v>1041.4624303137125</v>
      </c>
      <c r="H83" s="46">
        <f>+H82+Per_child_accounting!AF$49</f>
        <v>1085.2169499231209</v>
      </c>
      <c r="I83" s="46">
        <f>+I82+Per_child_accounting!AG$49</f>
        <v>1145.6432924287533</v>
      </c>
      <c r="J83" s="46">
        <f>+J82+Per_child_accounting!AH$49</f>
        <v>1233.4025984158216</v>
      </c>
      <c r="K83" s="46">
        <f>+K82+Per_child_accounting!AI$49</f>
        <v>1307.8942746159546</v>
      </c>
      <c r="L83" s="46">
        <f>+L82+Per_child_accounting!AJ$49</f>
        <v>1397.389528258205</v>
      </c>
      <c r="M83" s="46">
        <f>+M82+Per_child_accounting!AK$49</f>
        <v>1444.7713153329744</v>
      </c>
      <c r="N83" s="46">
        <f>+N82+Per_child_accounting!AL$49</f>
        <v>1500.1646499801748</v>
      </c>
      <c r="O83" s="46">
        <f>+O82+Per_child_accounting!AM$49</f>
        <v>1632.4515782647584</v>
      </c>
      <c r="P83" s="46">
        <f>+P82+Per_child_accounting!AN$49</f>
        <v>1788.8233806676192</v>
      </c>
      <c r="Q83" s="46">
        <f>+Q82+Per_child_accounting!AO$49</f>
        <v>1826.0951633054865</v>
      </c>
      <c r="R83" s="46"/>
      <c r="S83" s="113"/>
      <c r="T83" s="113"/>
      <c r="U83" s="113"/>
      <c r="V83" s="113"/>
      <c r="W83" s="113"/>
      <c r="X83" s="113"/>
      <c r="Y83" s="113"/>
      <c r="Z83" s="113"/>
      <c r="AA83" s="113"/>
      <c r="AB83" s="113"/>
      <c r="AC83" s="113"/>
      <c r="AD83" s="113"/>
      <c r="AE83" s="113"/>
      <c r="AF83" s="113"/>
      <c r="AG83" s="113"/>
      <c r="AH83" s="113"/>
      <c r="AI83" s="113"/>
      <c r="AJ83" s="113"/>
      <c r="AK83" s="113"/>
      <c r="AL83" s="113"/>
      <c r="AM83" s="113"/>
      <c r="AN83" s="113"/>
    </row>
    <row r="84" spans="1:40" x14ac:dyDescent="0.2">
      <c r="B84" s="86" t="s">
        <v>1094</v>
      </c>
      <c r="C84" t="str">
        <f t="shared" si="27"/>
        <v>Balance of VIC2+5</v>
      </c>
      <c r="D84" s="46">
        <f>+D83+Per_child_accounting!$AD$49</f>
        <v>1136.1153169981922</v>
      </c>
      <c r="E84" s="46">
        <f>+E83+Per_child_accounting!$AD$49</f>
        <v>1136.1153169981922</v>
      </c>
      <c r="F84" s="46">
        <f>+F83+Per_child_accounting!$AD$49</f>
        <v>1136.1153169981922</v>
      </c>
      <c r="G84" s="46">
        <f>+G83+Per_child_accounting!AE$49</f>
        <v>1136.0698954885747</v>
      </c>
      <c r="H84" s="46">
        <f>+H83+Per_child_accounting!AF$49</f>
        <v>1179.783119215047</v>
      </c>
      <c r="I84" s="46">
        <f>+I83+Per_child_accounting!AG$49</f>
        <v>1240.1524267779007</v>
      </c>
      <c r="J84" s="46">
        <f>+J83+Per_child_accounting!AH$49</f>
        <v>1327.8289022443746</v>
      </c>
      <c r="K84" s="46">
        <f>+K83+Per_child_accounting!AI$49</f>
        <v>1402.2502690281863</v>
      </c>
      <c r="L84" s="46">
        <f>+L83+Per_child_accounting!AJ$49</f>
        <v>1491.661057488498</v>
      </c>
      <c r="M84" s="46">
        <f>+M83+Per_child_accounting!AK$49</f>
        <v>1538.9981207147766</v>
      </c>
      <c r="N84" s="46">
        <f>+N83+Per_child_accounting!AL$49</f>
        <v>1594.3391722082972</v>
      </c>
      <c r="O84" s="46">
        <f>+O83+Per_child_accounting!AM$49</f>
        <v>1726.5012436941104</v>
      </c>
      <c r="P84" s="46">
        <f>+P83+Per_child_accounting!AN$49</f>
        <v>1882.7254558681032</v>
      </c>
      <c r="Q84" s="46">
        <f>+Q83+Per_child_accounting!AO$49</f>
        <v>1919.9620593433899</v>
      </c>
      <c r="R84" s="46"/>
      <c r="S84" s="113"/>
      <c r="T84" s="113"/>
      <c r="U84" s="113"/>
      <c r="V84" s="113"/>
      <c r="W84" s="113"/>
      <c r="X84" s="113"/>
      <c r="Y84" s="113"/>
      <c r="Z84" s="113"/>
      <c r="AA84" s="113"/>
      <c r="AB84" s="113"/>
      <c r="AC84" s="113"/>
      <c r="AD84" s="113"/>
      <c r="AE84" s="113"/>
      <c r="AF84" s="113"/>
      <c r="AG84" s="113"/>
      <c r="AH84" s="113"/>
      <c r="AI84" s="113"/>
      <c r="AJ84" s="113"/>
      <c r="AK84" s="113"/>
      <c r="AL84" s="113"/>
      <c r="AM84" s="113"/>
      <c r="AN84" s="113"/>
    </row>
    <row r="85" spans="1:40" x14ac:dyDescent="0.2">
      <c r="B85" s="86" t="s">
        <v>1095</v>
      </c>
      <c r="C85" t="str">
        <f t="shared" si="27"/>
        <v>Balance of VIC2+6</v>
      </c>
      <c r="D85" s="46">
        <f>+D84+Per_child_accounting!$AD$49</f>
        <v>1230.7454929278629</v>
      </c>
      <c r="E85" s="46">
        <f>+E84+Per_child_accounting!$AD$49</f>
        <v>1230.7454929278629</v>
      </c>
      <c r="F85" s="46">
        <f>+F84+Per_child_accounting!$AD$49</f>
        <v>1230.7454929278629</v>
      </c>
      <c r="G85" s="46">
        <f>+G84+Per_child_accounting!AE$49</f>
        <v>1230.677360663437</v>
      </c>
      <c r="H85" s="46">
        <f>+H84+Per_child_accounting!AF$49</f>
        <v>1274.3492885069732</v>
      </c>
      <c r="I85" s="46">
        <f>+I84+Per_child_accounting!AG$49</f>
        <v>1334.6615611270481</v>
      </c>
      <c r="J85" s="46">
        <f>+J84+Per_child_accounting!AH$49</f>
        <v>1422.2552060729276</v>
      </c>
      <c r="K85" s="46">
        <f>+K84+Per_child_accounting!AI$49</f>
        <v>1496.6062634404179</v>
      </c>
      <c r="L85" s="46">
        <f>+L84+Per_child_accounting!AJ$49</f>
        <v>1585.9325867187911</v>
      </c>
      <c r="M85" s="46">
        <f>+M84+Per_child_accounting!AK$49</f>
        <v>1633.2249260965789</v>
      </c>
      <c r="N85" s="46">
        <f>+N84+Per_child_accounting!AL$49</f>
        <v>1688.5136944364197</v>
      </c>
      <c r="O85" s="46">
        <f>+O84+Per_child_accounting!AM$49</f>
        <v>1820.5509091234624</v>
      </c>
      <c r="P85" s="46">
        <f>+P84+Per_child_accounting!AN$49</f>
        <v>1976.6275310685871</v>
      </c>
      <c r="Q85" s="46">
        <f>+Q84+Per_child_accounting!AO$49</f>
        <v>2013.8289553812933</v>
      </c>
      <c r="R85" s="46"/>
      <c r="S85" s="113"/>
      <c r="T85" s="113"/>
      <c r="U85" s="113"/>
      <c r="V85" s="113"/>
      <c r="W85" s="113"/>
      <c r="X85" s="113"/>
      <c r="Y85" s="113"/>
      <c r="Z85" s="113"/>
      <c r="AA85" s="113"/>
      <c r="AB85" s="113"/>
      <c r="AC85" s="113"/>
      <c r="AD85" s="113"/>
      <c r="AE85" s="113"/>
      <c r="AF85" s="113"/>
      <c r="AG85" s="113"/>
      <c r="AH85" s="113"/>
      <c r="AI85" s="113"/>
      <c r="AJ85" s="113"/>
      <c r="AK85" s="113"/>
      <c r="AL85" s="113"/>
      <c r="AM85" s="113"/>
      <c r="AN85" s="113"/>
    </row>
    <row r="86" spans="1:40" x14ac:dyDescent="0.2">
      <c r="B86" s="86"/>
      <c r="D86" s="46"/>
      <c r="E86" s="46"/>
      <c r="F86" s="46"/>
      <c r="G86" s="46"/>
      <c r="H86" s="46"/>
      <c r="I86" s="46"/>
      <c r="J86" s="46"/>
      <c r="K86" s="46"/>
      <c r="L86" s="46"/>
      <c r="M86" s="46"/>
      <c r="N86" s="46"/>
      <c r="O86" s="46"/>
      <c r="P86" s="46"/>
      <c r="Q86" s="46"/>
      <c r="R86" s="46"/>
      <c r="S86" s="113"/>
      <c r="T86" s="113"/>
      <c r="U86" s="113"/>
      <c r="V86" s="113"/>
      <c r="W86" s="113"/>
      <c r="X86" s="113"/>
      <c r="Y86" s="113"/>
      <c r="Z86" s="113"/>
      <c r="AA86" s="113"/>
      <c r="AB86" s="113"/>
      <c r="AC86" s="113"/>
      <c r="AD86" s="113"/>
      <c r="AE86" s="113"/>
      <c r="AF86" s="113"/>
      <c r="AG86" s="113"/>
      <c r="AH86" s="113"/>
      <c r="AI86" s="113"/>
      <c r="AJ86" s="113"/>
      <c r="AK86" s="113"/>
      <c r="AL86" s="113"/>
      <c r="AM86" s="113"/>
      <c r="AN86" s="113"/>
    </row>
    <row r="87" spans="1:40" x14ac:dyDescent="0.2">
      <c r="A87" t="s">
        <v>1096</v>
      </c>
      <c r="B87" s="86" t="s">
        <v>1097</v>
      </c>
      <c r="C87" t="str">
        <f t="shared" si="24"/>
        <v>Balance of VIC1+0</v>
      </c>
      <c r="D87" s="46">
        <f>IF(+DropINTable!AB68=0,DropINTable!AC68,DropINTable!AB68)</f>
        <v>360.20826498638797</v>
      </c>
      <c r="E87" s="46">
        <f>IF(+DropINTable!AC68=0,DropINTable!AD68,DropINTable!AC68)</f>
        <v>377.34952018807616</v>
      </c>
      <c r="F87" s="46">
        <f>IF(+DropINTable!AD68=0,DropINTable!AE68,DropINTable!AD68)</f>
        <v>393.49784536869134</v>
      </c>
      <c r="G87" s="46">
        <f>IF(+DropINTable!AE68=0,DropINTable!AF68,DropINTable!AE68)</f>
        <v>417.20162750073399</v>
      </c>
      <c r="H87" s="46">
        <f>IF(+DropINTable!AF68=0,DropINTable!AG68,DropINTable!AF68)</f>
        <v>460.30240766207777</v>
      </c>
      <c r="I87" s="46">
        <f>IF(+DropINTable!AG68=0,DropINTable!AH68,DropINTable!AG68)</f>
        <v>519.82592254400595</v>
      </c>
      <c r="J87" s="46">
        <f>IF(+DropINTable!AH68=0,DropINTable!AI68,DropINTable!AH68)</f>
        <v>606.27401196959727</v>
      </c>
      <c r="K87" s="46">
        <f>IF(+DropINTable!AI68=0,DropINTable!AJ68,DropINTable!AI68)</f>
        <v>679.65270939145864</v>
      </c>
      <c r="L87" s="46">
        <f>IF(+DropINTable!AJ68=0,DropINTable!AK68,DropINTable!AJ68)</f>
        <v>767.81081064414684</v>
      </c>
      <c r="M87" s="46">
        <f>IF(+DropINTable!AK68=0,DropINTable!AL68,DropINTable!AK68)</f>
        <v>814.48466747842917</v>
      </c>
      <c r="N87" s="46">
        <f>IF(+DropINTable!AL68=0,DropINTable!AM68,DropINTable!AL68)</f>
        <v>869.05037016215806</v>
      </c>
      <c r="O87" s="46">
        <f>IF(+DropINTable!AM68=0,DropINTable!AN68,DropINTable!AM68)</f>
        <v>999.36079466174738</v>
      </c>
      <c r="P87" s="46">
        <f>IF(+DropINTable!AN68=0,DropINTable!AO68,DropINTable!AN68)</f>
        <v>1153.396243736905</v>
      </c>
      <c r="Q87" s="46">
        <f>IF(+DropINTable!AO68=0,DropINTable!AP68,DropINTable!AO68)</f>
        <v>1190.1111505270001</v>
      </c>
      <c r="R87" s="46"/>
      <c r="S87" s="113"/>
      <c r="T87" s="113"/>
      <c r="U87" s="113"/>
      <c r="V87" s="113"/>
      <c r="W87" s="113"/>
      <c r="X87" s="113"/>
      <c r="Y87" s="113"/>
      <c r="Z87" s="113"/>
      <c r="AA87" s="113"/>
      <c r="AB87" s="113"/>
      <c r="AC87" s="113"/>
      <c r="AD87" s="113"/>
      <c r="AE87" s="113"/>
      <c r="AF87" s="113"/>
      <c r="AG87" s="113"/>
      <c r="AH87" s="113"/>
      <c r="AI87" s="113"/>
      <c r="AJ87" s="113"/>
      <c r="AK87" s="113"/>
      <c r="AL87" s="113"/>
      <c r="AM87" s="113"/>
      <c r="AN87" s="113"/>
    </row>
    <row r="88" spans="1:40" x14ac:dyDescent="0.2">
      <c r="A88" t="s">
        <v>1098</v>
      </c>
      <c r="B88" s="86" t="s">
        <v>1099</v>
      </c>
      <c r="C88" t="str">
        <f t="shared" si="24"/>
        <v>Balance of VIC1+1</v>
      </c>
      <c r="D88" s="46">
        <f>IF(+DropINTable!AB69=0,DropINTable!AC69,DropINTable!AB69)</f>
        <v>476.65658403808158</v>
      </c>
      <c r="E88" s="46">
        <f>IF(+DropINTable!AC69=0,DropINTable!AD69,DropINTable!AC69)</f>
        <v>476.65658403808158</v>
      </c>
      <c r="F88" s="46">
        <f>IF(+DropINTable!AD69=0,DropINTable!AE69,DropINTable!AD69)</f>
        <v>492.70437314879041</v>
      </c>
      <c r="G88" s="46">
        <f>IF(+DropINTable!AE69=0,DropINTable!AF69,DropINTable!AE69)</f>
        <v>516.26058135016365</v>
      </c>
      <c r="H88" s="46">
        <f>IF(+DropINTable!AF69=0,DropINTable!AG69,DropINTable!AF69)</f>
        <v>559.0930271968308</v>
      </c>
      <c r="I88" s="46">
        <f>IF(+DropINTable!AG69=0,DropINTable!AH69,DropINTable!AG69)</f>
        <v>618.24596257594237</v>
      </c>
      <c r="J88" s="46">
        <f>IF(+DropINTable!AH69=0,DropINTable!AI69,DropINTable!AH69)</f>
        <v>704.15584641843213</v>
      </c>
      <c r="K88" s="46">
        <f>IF(+DropINTable!AI69=0,DropINTable!AJ69,DropINTable!AI69)</f>
        <v>777.07770597864067</v>
      </c>
      <c r="L88" s="46">
        <f>IF(+DropINTable!AJ69=0,DropINTable!AK69,DropINTable!AJ69)</f>
        <v>864.6869565062683</v>
      </c>
      <c r="M88" s="46">
        <f>IF(+DropINTable!AK69=0,DropINTable!AL69,DropINTable!AK69)</f>
        <v>911.07023122620194</v>
      </c>
      <c r="N88" s="46">
        <f>IF(+DropINTable!AL69=0,DropINTable!AM69,DropINTable!AL69)</f>
        <v>965.2962207077785</v>
      </c>
      <c r="O88" s="46">
        <f>IF(+DropINTable!AM69=0,DropINTable!AN69,DropINTable!AM69)</f>
        <v>1094.7953647279946</v>
      </c>
      <c r="P88" s="46">
        <f>IF(+DropINTable!AN69=0,DropINTable!AO69,DropINTable!AN69)</f>
        <v>1247.8718288829623</v>
      </c>
      <c r="Q88" s="46">
        <f>IF(+DropINTable!AO69=0,DropINTable!AP69,DropINTable!AO69)</f>
        <v>1284.3581559138738</v>
      </c>
      <c r="R88" s="46"/>
      <c r="S88" s="113"/>
      <c r="T88" s="113"/>
      <c r="U88" s="113"/>
      <c r="V88" s="113"/>
      <c r="W88" s="113"/>
      <c r="X88" s="113"/>
      <c r="Y88" s="113"/>
      <c r="Z88" s="113"/>
      <c r="AA88" s="113"/>
      <c r="AB88" s="113"/>
      <c r="AC88" s="113"/>
      <c r="AD88" s="113"/>
      <c r="AE88" s="113"/>
      <c r="AF88" s="113"/>
      <c r="AG88" s="113"/>
      <c r="AH88" s="113"/>
      <c r="AI88" s="113"/>
      <c r="AJ88" s="113"/>
      <c r="AK88" s="113"/>
      <c r="AL88" s="113"/>
      <c r="AM88" s="113"/>
      <c r="AN88" s="113"/>
    </row>
    <row r="89" spans="1:40" x14ac:dyDescent="0.2">
      <c r="A89" t="s">
        <v>1100</v>
      </c>
      <c r="B89" s="86" t="s">
        <v>1101</v>
      </c>
      <c r="C89" t="str">
        <f t="shared" si="24"/>
        <v>Balance of VIC1+2</v>
      </c>
      <c r="D89" s="46">
        <f>IF(+DropINTable!AB70=0,DropINTable!AC70,DropINTable!AB70)</f>
        <v>594.43835475728861</v>
      </c>
      <c r="E89" s="46">
        <f>IF(+DropINTable!AC70=0,DropINTable!AD70,DropINTable!AC70)</f>
        <v>594.43835475728861</v>
      </c>
      <c r="F89" s="46">
        <f>IF(+DropINTable!AD70=0,DropINTable!AE70,DropINTable!AD70)</f>
        <v>610.49741051116098</v>
      </c>
      <c r="G89" s="46">
        <f>IF(+DropINTable!AE70=0,DropINTable!AF70,DropINTable!AE70)</f>
        <v>634.07015257095122</v>
      </c>
      <c r="H89" s="46">
        <f>IF(+DropINTable!AF70=0,DropINTable!AG70,DropINTable!AF70)</f>
        <v>676.93266687639164</v>
      </c>
      <c r="I89" s="46">
        <f>IF(+DropINTable!AG70=0,DropINTable!AH70,DropINTable!AG70)</f>
        <v>736.12713005446346</v>
      </c>
      <c r="J89" s="46">
        <f>IF(+DropINTable!AH70=0,DropINTable!AI70,DropINTable!AH70)</f>
        <v>822.09732288486146</v>
      </c>
      <c r="K89" s="46">
        <f>IF(+DropINTable!AI70=0,DropINTable!AJ70,DropINTable!AI70)</f>
        <v>895.07037485196952</v>
      </c>
      <c r="L89" s="46">
        <f>IF(+DropINTable!AJ70=0,DropINTable!AK70,DropINTable!AJ70)</f>
        <v>982.74112515024706</v>
      </c>
      <c r="M89" s="46">
        <f>IF(+DropINTable!AK70=0,DropINTable!AL70,DropINTable!AK70)</f>
        <v>1029.156964132012</v>
      </c>
      <c r="N89" s="46">
        <f>IF(+DropINTable!AL70=0,DropINTable!AM70,DropINTable!AL70)</f>
        <v>1083.421022640305</v>
      </c>
      <c r="O89" s="46">
        <f>IF(+DropINTable!AM70=0,DropINTable!AN70,DropINTable!AM70)</f>
        <v>1213.0110699890633</v>
      </c>
      <c r="P89" s="46">
        <f>IF(+DropINTable!AN70=0,DropINTable!AO70,DropINTable!AN70)</f>
        <v>1366.1949926615716</v>
      </c>
      <c r="Q89" s="46">
        <f>IF(+DropINTable!AO70=0,DropINTable!AP70,DropINTable!AO70)</f>
        <v>1402.7069382717373</v>
      </c>
      <c r="R89" s="46"/>
      <c r="S89" s="113"/>
      <c r="T89" s="113"/>
      <c r="U89" s="113"/>
      <c r="V89" s="113"/>
      <c r="W89" s="113"/>
      <c r="X89" s="113"/>
      <c r="Y89" s="113"/>
      <c r="Z89" s="113"/>
      <c r="AA89" s="113"/>
      <c r="AB89" s="113"/>
      <c r="AC89" s="113"/>
      <c r="AD89" s="113"/>
      <c r="AE89" s="113"/>
      <c r="AF89" s="113"/>
      <c r="AG89" s="113"/>
      <c r="AH89" s="113"/>
      <c r="AI89" s="113"/>
      <c r="AJ89" s="113"/>
      <c r="AK89" s="113"/>
      <c r="AL89" s="113"/>
      <c r="AM89" s="113"/>
      <c r="AN89" s="113"/>
    </row>
    <row r="90" spans="1:40" x14ac:dyDescent="0.2">
      <c r="A90" t="s">
        <v>1102</v>
      </c>
      <c r="B90" s="86" t="s">
        <v>1103</v>
      </c>
      <c r="C90" t="str">
        <f t="shared" si="24"/>
        <v>Balance of VIC1+3</v>
      </c>
      <c r="D90" s="46">
        <f t="shared" ref="D90" si="28">+E90</f>
        <v>728.29044787353155</v>
      </c>
      <c r="E90" s="46">
        <f>IF(+DropINTable!AC71=0,DropINTable!AD71,DropINTable!AC71)</f>
        <v>728.29044787353155</v>
      </c>
      <c r="F90" s="46">
        <f>IF(+DropINTable!AD71=0,DropINTable!AE71,DropINTable!AD71)</f>
        <v>728.29044787353155</v>
      </c>
      <c r="G90" s="46">
        <f>IF(+DropINTable!AE71=0,DropINTable!AF71,DropINTable!AE71)</f>
        <v>751.8797237917388</v>
      </c>
      <c r="H90" s="46">
        <f>IF(+DropINTable!AF71=0,DropINTable!AG71,DropINTable!AF71)</f>
        <v>794.77230655595247</v>
      </c>
      <c r="I90" s="46">
        <f>IF(+DropINTable!AG71=0,DropINTable!AH71,DropINTable!AG71)</f>
        <v>854.00829753298456</v>
      </c>
      <c r="J90" s="46">
        <f>IF(+DropINTable!AH71=0,DropINTable!AI71,DropINTable!AH71)</f>
        <v>940.03879935129078</v>
      </c>
      <c r="K90" s="46">
        <f>IF(+DropINTable!AI71=0,DropINTable!AJ71,DropINTable!AI71)</f>
        <v>1013.0630437252984</v>
      </c>
      <c r="L90" s="46">
        <f>IF(+DropINTable!AJ71=0,DropINTable!AK71,DropINTable!AJ71)</f>
        <v>1100.7952937942259</v>
      </c>
      <c r="M90" s="46">
        <f>IF(+DropINTable!AK71=0,DropINTable!AL71,DropINTable!AK71)</f>
        <v>1147.2436970378221</v>
      </c>
      <c r="N90" s="46">
        <f>IF(+DropINTable!AL71=0,DropINTable!AM71,DropINTable!AL71)</f>
        <v>1201.5458245728314</v>
      </c>
      <c r="O90" s="46">
        <f>IF(+DropINTable!AM71=0,DropINTable!AN71,DropINTable!AM71)</f>
        <v>1331.2267752501321</v>
      </c>
      <c r="P90" s="46">
        <f>IF(+DropINTable!AN71=0,DropINTable!AO71,DropINTable!AN71)</f>
        <v>1484.518156440181</v>
      </c>
      <c r="Q90" s="46">
        <f>IF(+DropINTable!AO71=0,DropINTable!AP71,DropINTable!AO71)</f>
        <v>1521.0557206296007</v>
      </c>
      <c r="S90" s="113"/>
      <c r="T90" s="113"/>
      <c r="U90" s="113"/>
      <c r="V90" s="113"/>
      <c r="W90" s="113"/>
      <c r="X90" s="113"/>
      <c r="Y90" s="113"/>
      <c r="Z90" s="113"/>
      <c r="AA90" s="113"/>
      <c r="AB90" s="113"/>
      <c r="AC90" s="113"/>
      <c r="AD90" s="113"/>
      <c r="AE90" s="113"/>
      <c r="AF90" s="113"/>
      <c r="AG90" s="113"/>
      <c r="AH90" s="113"/>
      <c r="AI90" s="113"/>
      <c r="AJ90" s="113"/>
      <c r="AK90" s="113"/>
      <c r="AL90" s="113"/>
      <c r="AM90" s="113"/>
      <c r="AN90" s="113"/>
    </row>
    <row r="91" spans="1:40" x14ac:dyDescent="0.2">
      <c r="B91" s="86" t="s">
        <v>1104</v>
      </c>
      <c r="C91" t="str">
        <f t="shared" ref="C91:C93" si="29">+CONCATENATE(A$78,B91)</f>
        <v>Balance of VIC1+4</v>
      </c>
      <c r="D91" s="46">
        <f>+D90+Per_child_accounting!AC$52</f>
        <v>827.59751172353697</v>
      </c>
      <c r="E91" s="46">
        <f>+E90+Per_child_accounting!AC$52</f>
        <v>827.59751172353697</v>
      </c>
      <c r="F91" s="46">
        <f>+F90+Per_child_accounting!AD$52</f>
        <v>827.49697565363067</v>
      </c>
      <c r="G91" s="46">
        <f>+G90+Per_child_accounting!AE$52</f>
        <v>850.9386776411684</v>
      </c>
      <c r="H91" s="46">
        <f>+H90+Per_child_accounting!AF$52</f>
        <v>893.56292609070556</v>
      </c>
      <c r="I91" s="46">
        <f>+I90+Per_child_accounting!AG$52</f>
        <v>952.42833756492098</v>
      </c>
      <c r="J91" s="46">
        <f>+J90+Per_child_accounting!AH$52</f>
        <v>1037.9206338001256</v>
      </c>
      <c r="K91" s="46">
        <f>+K90+Per_child_accounting!AI$52</f>
        <v>1110.4880403124803</v>
      </c>
      <c r="L91" s="46">
        <f>+L90+Per_child_accounting!AJ$52</f>
        <v>1197.6714396563475</v>
      </c>
      <c r="M91" s="46">
        <f>+M90+Per_child_accounting!AK$52</f>
        <v>1243.8292607855949</v>
      </c>
      <c r="N91" s="46">
        <f>+N90+Per_child_accounting!AL$52</f>
        <v>1297.7916751184518</v>
      </c>
      <c r="O91" s="46">
        <f>+O90+Per_child_accounting!AM$52</f>
        <v>1426.6613453163793</v>
      </c>
      <c r="P91" s="46">
        <f>+P90+Per_child_accounting!AN$52</f>
        <v>1578.9937415862382</v>
      </c>
      <c r="Q91" s="46">
        <f>+Q90+Per_child_accounting!AO$52</f>
        <v>1615.3027260164745</v>
      </c>
      <c r="S91" s="113"/>
      <c r="T91" s="113"/>
      <c r="U91" s="113"/>
      <c r="V91" s="113"/>
      <c r="W91" s="113"/>
      <c r="X91" s="113"/>
      <c r="Y91" s="113"/>
      <c r="Z91" s="113"/>
      <c r="AA91" s="113"/>
      <c r="AB91" s="113"/>
      <c r="AC91" s="113"/>
      <c r="AD91" s="113"/>
      <c r="AE91" s="113"/>
      <c r="AF91" s="113"/>
      <c r="AG91" s="113"/>
      <c r="AH91" s="113"/>
      <c r="AI91" s="113"/>
      <c r="AJ91" s="113"/>
      <c r="AK91" s="113"/>
      <c r="AL91" s="113"/>
      <c r="AM91" s="113"/>
      <c r="AN91" s="113"/>
    </row>
    <row r="92" spans="1:40" x14ac:dyDescent="0.2">
      <c r="B92" s="86" t="s">
        <v>1105</v>
      </c>
      <c r="C92" t="str">
        <f t="shared" si="29"/>
        <v>Balance of VIC1+5</v>
      </c>
      <c r="D92" s="46">
        <f>+D91+Per_child_accounting!AC$52</f>
        <v>926.90457557354239</v>
      </c>
      <c r="E92" s="46">
        <f>+E91+Per_child_accounting!AC$52</f>
        <v>926.90457557354239</v>
      </c>
      <c r="F92" s="46">
        <f>+F91+Per_child_accounting!AD$52</f>
        <v>926.70350343372979</v>
      </c>
      <c r="G92" s="46">
        <f>+G91+Per_child_accounting!AE$52</f>
        <v>949.997631490598</v>
      </c>
      <c r="H92" s="46">
        <f>+H91+Per_child_accounting!AF$52</f>
        <v>992.35354562545854</v>
      </c>
      <c r="I92" s="46">
        <f>+I91+Per_child_accounting!AG$52</f>
        <v>1050.8483775968575</v>
      </c>
      <c r="J92" s="46">
        <f>+J91+Per_child_accounting!AH$52</f>
        <v>1135.8024682489604</v>
      </c>
      <c r="K92" s="46">
        <f>+K91+Per_child_accounting!AI$52</f>
        <v>1207.9130368996623</v>
      </c>
      <c r="L92" s="46">
        <f>+L91+Per_child_accounting!AJ$52</f>
        <v>1294.5475855184691</v>
      </c>
      <c r="M92" s="46">
        <f>+M91+Per_child_accounting!AK$52</f>
        <v>1340.4148245333677</v>
      </c>
      <c r="N92" s="46">
        <f>+N91+Per_child_accounting!AL$52</f>
        <v>1394.0375256640723</v>
      </c>
      <c r="O92" s="46">
        <f>+O91+Per_child_accounting!AM$52</f>
        <v>1522.0959153826266</v>
      </c>
      <c r="P92" s="46">
        <f>+P91+Per_child_accounting!AN$52</f>
        <v>1673.4693267322955</v>
      </c>
      <c r="Q92" s="46">
        <f>+Q91+Per_child_accounting!AO$52</f>
        <v>1709.5497314033482</v>
      </c>
      <c r="S92" s="113"/>
      <c r="T92" s="113"/>
      <c r="U92" s="113"/>
      <c r="V92" s="113"/>
      <c r="W92" s="113"/>
      <c r="X92" s="113"/>
      <c r="Y92" s="113"/>
      <c r="Z92" s="113"/>
      <c r="AA92" s="113"/>
      <c r="AB92" s="113"/>
      <c r="AC92" s="113"/>
      <c r="AD92" s="113"/>
      <c r="AE92" s="113"/>
      <c r="AF92" s="113"/>
      <c r="AG92" s="113"/>
      <c r="AH92" s="113"/>
      <c r="AI92" s="113"/>
      <c r="AJ92" s="113"/>
      <c r="AK92" s="113"/>
      <c r="AL92" s="113"/>
      <c r="AM92" s="113"/>
      <c r="AN92" s="113"/>
    </row>
    <row r="93" spans="1:40" x14ac:dyDescent="0.2">
      <c r="B93" s="86" t="s">
        <v>1106</v>
      </c>
      <c r="C93" t="str">
        <f t="shared" si="29"/>
        <v>Balance of VIC1+6</v>
      </c>
      <c r="D93" s="46">
        <f>+D92+Per_child_accounting!AC$52</f>
        <v>1026.2116394235477</v>
      </c>
      <c r="E93" s="46">
        <f>+E92+Per_child_accounting!AC$52</f>
        <v>1026.2116394235477</v>
      </c>
      <c r="F93" s="46">
        <f>+F92+Per_child_accounting!AD$52</f>
        <v>1025.9100312138289</v>
      </c>
      <c r="G93" s="46">
        <f>+G92+Per_child_accounting!AE$52</f>
        <v>1049.0565853400276</v>
      </c>
      <c r="H93" s="46">
        <f>+H92+Per_child_accounting!AF$52</f>
        <v>1091.1441651602115</v>
      </c>
      <c r="I93" s="46">
        <f>+I92+Per_child_accounting!AG$52</f>
        <v>1149.2684176287939</v>
      </c>
      <c r="J93" s="46">
        <f>+J92+Per_child_accounting!AH$52</f>
        <v>1233.6843026977954</v>
      </c>
      <c r="K93" s="46">
        <f>+K92+Per_child_accounting!AI$52</f>
        <v>1305.3380334868443</v>
      </c>
      <c r="L93" s="46">
        <f>+L92+Per_child_accounting!AJ$52</f>
        <v>1391.4237313805907</v>
      </c>
      <c r="M93" s="46">
        <f>+M92+Per_child_accounting!AK$52</f>
        <v>1437.0003882811404</v>
      </c>
      <c r="N93" s="46">
        <f>+N92+Per_child_accounting!AL$52</f>
        <v>1490.2833762096927</v>
      </c>
      <c r="O93" s="46">
        <f>+O92+Per_child_accounting!AM$52</f>
        <v>1617.5304854488738</v>
      </c>
      <c r="P93" s="46">
        <f>+P92+Per_child_accounting!AN$52</f>
        <v>1767.9449118783527</v>
      </c>
      <c r="Q93" s="46">
        <f>+Q92+Per_child_accounting!AO$52</f>
        <v>1803.796736790222</v>
      </c>
      <c r="R93" s="46"/>
      <c r="S93" s="113"/>
      <c r="T93" s="113"/>
      <c r="U93" s="113"/>
      <c r="V93" s="113"/>
      <c r="W93" s="113"/>
      <c r="X93" s="113"/>
      <c r="Y93" s="113"/>
      <c r="Z93" s="113"/>
      <c r="AA93" s="113"/>
      <c r="AB93" s="113"/>
      <c r="AC93" s="113"/>
      <c r="AD93" s="113"/>
      <c r="AE93" s="113"/>
      <c r="AF93" s="113"/>
      <c r="AG93" s="113"/>
      <c r="AH93" s="113"/>
      <c r="AI93" s="113"/>
      <c r="AJ93" s="113"/>
      <c r="AK93" s="113"/>
      <c r="AL93" s="113"/>
      <c r="AM93" s="113"/>
      <c r="AN93" s="113"/>
    </row>
    <row r="94" spans="1:40" x14ac:dyDescent="0.2">
      <c r="D94" s="46"/>
      <c r="E94" s="46"/>
      <c r="F94" s="46"/>
      <c r="G94" s="46"/>
      <c r="H94" s="46"/>
      <c r="I94" s="46"/>
      <c r="J94" s="46"/>
      <c r="K94" s="46"/>
      <c r="L94" s="46"/>
      <c r="M94" s="46"/>
      <c r="N94" s="46"/>
      <c r="O94" s="46"/>
      <c r="P94" s="46"/>
      <c r="Q94" s="46"/>
      <c r="R94" s="46"/>
      <c r="S94" s="113"/>
      <c r="T94" s="113"/>
      <c r="U94" s="113"/>
      <c r="V94" s="113"/>
      <c r="W94" s="113"/>
      <c r="X94" s="113"/>
      <c r="Y94" s="113"/>
      <c r="Z94" s="113"/>
      <c r="AA94" s="113"/>
      <c r="AB94" s="113"/>
      <c r="AC94" s="113"/>
      <c r="AD94" s="113"/>
      <c r="AE94" s="113"/>
      <c r="AF94" s="113"/>
      <c r="AG94" s="113"/>
      <c r="AH94" s="113"/>
      <c r="AI94" s="113"/>
      <c r="AJ94" s="113"/>
      <c r="AK94" s="113"/>
      <c r="AL94" s="113"/>
      <c r="AM94" s="113"/>
      <c r="AN94" s="113"/>
    </row>
    <row r="95" spans="1:40" ht="28.5" x14ac:dyDescent="0.45">
      <c r="A95" s="368" t="s">
        <v>230</v>
      </c>
      <c r="B95" s="368"/>
      <c r="C95" s="368"/>
      <c r="D95" s="46"/>
      <c r="E95" s="46"/>
      <c r="F95" s="46"/>
      <c r="G95" s="46"/>
      <c r="H95" s="46"/>
      <c r="I95" s="46"/>
      <c r="J95" s="46"/>
      <c r="K95" s="46"/>
      <c r="L95" s="46"/>
      <c r="M95" s="46"/>
      <c r="N95" s="46"/>
      <c r="O95" s="46"/>
      <c r="P95" s="46"/>
      <c r="Q95" s="46"/>
      <c r="R95" s="46"/>
      <c r="S95" s="113"/>
      <c r="T95" s="113"/>
      <c r="U95" s="113"/>
      <c r="V95" s="113"/>
      <c r="W95" s="113"/>
      <c r="X95" s="113"/>
      <c r="Y95" s="113"/>
      <c r="Z95" s="113"/>
      <c r="AA95" s="113"/>
      <c r="AB95" s="113"/>
      <c r="AC95" s="113"/>
      <c r="AD95" s="113"/>
      <c r="AE95" s="113"/>
      <c r="AF95" s="113"/>
      <c r="AG95" s="113"/>
      <c r="AH95" s="113"/>
      <c r="AI95" s="113"/>
      <c r="AJ95" s="113"/>
      <c r="AK95" s="113"/>
      <c r="AL95" s="113"/>
      <c r="AM95" s="113"/>
      <c r="AN95" s="113"/>
    </row>
    <row r="96" spans="1:40" x14ac:dyDescent="0.2">
      <c r="A96" t="s">
        <v>1085</v>
      </c>
      <c r="B96" s="86" t="s">
        <v>1086</v>
      </c>
      <c r="C96" t="str">
        <f>+CONCATENATE(A$95,B96)</f>
        <v>Brisbane2+0</v>
      </c>
      <c r="D96" s="46">
        <f>IF(+DropINTable!AB75=0,DropINTable!AC75,DropINTable!AB75)</f>
        <v>600.03778817209025</v>
      </c>
      <c r="E96" s="46">
        <f>IF(+DropINTable!AC75=0,DropINTable!AD75,DropINTable!AC75)</f>
        <v>600.03778817209025</v>
      </c>
      <c r="F96" s="46">
        <f>IF(+DropINTable!AD75=0,DropINTable!AE75,DropINTable!AD75)</f>
        <v>616.34289230288073</v>
      </c>
      <c r="G96" s="46">
        <f>IF(+DropINTable!AE75=0,DropINTable!AF75,DropINTable!AE75)</f>
        <v>640.27680743619294</v>
      </c>
      <c r="H96" s="46">
        <f>IF(+DropINTable!AF75=0,DropINTable!AG75,DropINTable!AF75)</f>
        <v>683.796040693794</v>
      </c>
      <c r="I96" s="46">
        <f>IF(+DropINTable!AG75=0,DropINTable!AH75,DropINTable!AG75)</f>
        <v>743.8974500271695</v>
      </c>
      <c r="J96" s="46">
        <f>IF(+DropINTable!AH75=0,DropINTable!AI75,DropINTable!AH75)</f>
        <v>831.18483841272882</v>
      </c>
      <c r="K96" s="46">
        <f>IF(+DropINTable!AI75=0,DropINTable!AJ75,DropINTable!AI75)</f>
        <v>905.27594713155224</v>
      </c>
      <c r="L96" s="46">
        <f>IF(+DropINTable!AJ75=0,DropINTable!AK75,DropINTable!AJ75)</f>
        <v>994.28994839645861</v>
      </c>
      <c r="M96" s="46">
        <f>IF(+DropINTable!AK75=0,DropINTable!AL75,DropINTable!AK75)</f>
        <v>1041.4169482978436</v>
      </c>
      <c r="N96" s="46">
        <f>IF(+DropINTable!AL75=0,DropINTable!AM75,DropINTable!AL75)</f>
        <v>1096.5124122274469</v>
      </c>
      <c r="O96" s="46">
        <f>IF(+DropINTable!AM75=0,DropINTable!AN75,DropINTable!AM75)</f>
        <v>1228.0879815845185</v>
      </c>
      <c r="P96" s="46">
        <f>IF(+DropINTable!AN75=0,DropINTable!AO75,DropINTable!AN75)</f>
        <v>1383.6189151541621</v>
      </c>
      <c r="Q96" s="46">
        <f>IF(+DropINTable!AO75=0,DropINTable!AP75,DropINTable!AO75)</f>
        <v>1420.6902741381164</v>
      </c>
      <c r="R96" s="46"/>
      <c r="S96" s="113"/>
      <c r="T96" s="113"/>
      <c r="U96" s="113"/>
      <c r="V96" s="113"/>
      <c r="W96" s="113"/>
      <c r="X96" s="113"/>
      <c r="Y96" s="113"/>
      <c r="Z96" s="113"/>
      <c r="AA96" s="113"/>
      <c r="AB96" s="113"/>
      <c r="AC96" s="113"/>
      <c r="AD96" s="113"/>
      <c r="AE96" s="113"/>
      <c r="AF96" s="113"/>
      <c r="AG96" s="113"/>
      <c r="AH96" s="113"/>
      <c r="AI96" s="113"/>
      <c r="AJ96" s="113"/>
      <c r="AK96" s="113"/>
      <c r="AL96" s="113"/>
      <c r="AM96" s="113"/>
      <c r="AN96" s="113"/>
    </row>
    <row r="97" spans="1:40" x14ac:dyDescent="0.2">
      <c r="A97" t="s">
        <v>1087</v>
      </c>
      <c r="B97" s="86" t="s">
        <v>1088</v>
      </c>
      <c r="C97" t="str">
        <f t="shared" ref="C97:C107" si="30">+CONCATENATE(A$95,B97)</f>
        <v>Brisbane2+1</v>
      </c>
      <c r="D97" s="46">
        <f t="shared" ref="D97:D98" si="31">+E97</f>
        <v>711.03399438440715</v>
      </c>
      <c r="E97" s="46">
        <f>IF(+DropINTable!AC76=0,DropINTable!AD76,DropINTable!AC76)</f>
        <v>711.03399438440715</v>
      </c>
      <c r="F97" s="46">
        <f>IF(+DropINTable!AD76=0,DropINTable!AE76,DropINTable!AD76)</f>
        <v>711.03399438440715</v>
      </c>
      <c r="G97" s="46">
        <f>IF(+DropINTable!AE76=0,DropINTable!AF76,DropINTable!AE76)</f>
        <v>734.94519648733728</v>
      </c>
      <c r="H97" s="46">
        <f>IF(+DropINTable!AF76=0,DropINTable!AG76,DropINTable!AF76)</f>
        <v>778.42313186138858</v>
      </c>
      <c r="I97" s="46">
        <f>IF(+DropINTable!AG76=0,DropINTable!AH76,DropINTable!AG76)</f>
        <v>838.46751017383622</v>
      </c>
      <c r="J97" s="46">
        <f>IF(+DropINTable!AH76=0,DropINTable!AI76,DropINTable!AH76)</f>
        <v>925.67206901051077</v>
      </c>
      <c r="K97" s="46">
        <f>IF(+DropINTable!AI76=0,DropINTable!AJ76,DropINTable!AI76)</f>
        <v>999.69286915000953</v>
      </c>
      <c r="L97" s="46">
        <f>IF(+DropINTable!AJ76=0,DropINTable!AK76,DropINTable!AJ76)</f>
        <v>1088.622399089387</v>
      </c>
      <c r="M97" s="46">
        <f>IF(+DropINTable!AK76=0,DropINTable!AL76,DropINTable!AK76)</f>
        <v>1135.7046800198177</v>
      </c>
      <c r="N97" s="46">
        <f>IF(+DropINTable!AL76=0,DropINTable!AM76,DropINTable!AL76)</f>
        <v>1190.7478585644783</v>
      </c>
      <c r="O97" s="46">
        <f>IF(+DropINTable!AM76=0,DropINTable!AN76,DropINTable!AM76)</f>
        <v>1322.1985737588466</v>
      </c>
      <c r="P97" s="46">
        <f>IF(+DropINTable!AN76=0,DropINTable!AO76,DropINTable!AN76)</f>
        <v>1477.5819176431105</v>
      </c>
      <c r="Q97" s="46">
        <f>IF(+DropINTable!AO76=0,DropINTable!AP76,DropINTable!AO76)</f>
        <v>1514.6180947649354</v>
      </c>
      <c r="R97" s="46"/>
      <c r="S97" s="113"/>
      <c r="T97" s="113"/>
      <c r="U97" s="113"/>
      <c r="V97" s="113"/>
      <c r="W97" s="113"/>
      <c r="X97" s="113"/>
      <c r="Y97" s="113"/>
      <c r="Z97" s="113"/>
      <c r="AA97" s="113"/>
      <c r="AB97" s="113"/>
      <c r="AC97" s="113"/>
      <c r="AD97" s="113"/>
      <c r="AE97" s="113"/>
      <c r="AF97" s="113"/>
      <c r="AG97" s="113"/>
      <c r="AH97" s="113"/>
      <c r="AI97" s="113"/>
      <c r="AJ97" s="113"/>
      <c r="AK97" s="113"/>
      <c r="AL97" s="113"/>
      <c r="AM97" s="113"/>
      <c r="AN97" s="113"/>
    </row>
    <row r="98" spans="1:40" x14ac:dyDescent="0.2">
      <c r="A98" t="s">
        <v>1089</v>
      </c>
      <c r="B98" s="86" t="s">
        <v>1090</v>
      </c>
      <c r="C98" t="str">
        <f t="shared" si="30"/>
        <v>Brisbane2+2</v>
      </c>
      <c r="D98" s="46">
        <f t="shared" si="31"/>
        <v>789.24662424875169</v>
      </c>
      <c r="E98" s="46">
        <f>IF(+DropINTable!AC77=0,DropINTable!AD77,DropINTable!AC77)</f>
        <v>789.24662424875169</v>
      </c>
      <c r="F98" s="46">
        <f>IF(+DropINTable!AD77=0,DropINTable!AE77,DropINTable!AD77)</f>
        <v>789.24662424875169</v>
      </c>
      <c r="G98" s="46">
        <f>IF(+DropINTable!AE77=0,DropINTable!AF77,DropINTable!AE77)</f>
        <v>813.25099457382316</v>
      </c>
      <c r="H98" s="46">
        <f>IF(+DropINTable!AF77=0,DropINTable!AG77,DropINTable!AF77)</f>
        <v>856.89833677366346</v>
      </c>
      <c r="I98" s="46">
        <f>IF(+DropINTable!AG77=0,DropINTable!AH77,DropINTable!AG77)</f>
        <v>917.17666962179771</v>
      </c>
      <c r="J98" s="46">
        <f>IF(+DropINTable!AH77=0,DropINTable!AI77,DropINTable!AH77)</f>
        <v>1004.7210083979222</v>
      </c>
      <c r="K98" s="46">
        <f>IF(+DropINTable!AI77=0,DropINTable!AJ77,DropINTable!AI77)</f>
        <v>1079.0302226481892</v>
      </c>
      <c r="L98" s="46">
        <f>IF(+DropINTable!AJ77=0,DropINTable!AK77,DropINTable!AJ77)</f>
        <v>1168.3062606413662</v>
      </c>
      <c r="M98" s="46">
        <f>IF(+DropINTable!AK77=0,DropINTable!AL77,DropINTable!AK77)</f>
        <v>1215.5719884235177</v>
      </c>
      <c r="N98" s="46">
        <f>IF(+DropINTable!AL77=0,DropINTable!AM77,DropINTable!AL77)</f>
        <v>1270.829640031317</v>
      </c>
      <c r="O98" s="46">
        <f>IF(+DropINTable!AM77=0,DropINTable!AN77,DropINTable!AM77)</f>
        <v>1402.7925336662663</v>
      </c>
      <c r="P98" s="46">
        <f>IF(+DropINTable!AN77=0,DropINTable!AO77,DropINTable!AN77)</f>
        <v>1558.7813103228955</v>
      </c>
      <c r="Q98" s="46">
        <f>IF(+DropINTable!AO77=0,DropINTable!AP77,DropINTable!AO77)</f>
        <v>1595.96179898946</v>
      </c>
      <c r="R98" s="46"/>
      <c r="S98" s="113"/>
      <c r="T98" s="113"/>
      <c r="U98" s="113"/>
      <c r="V98" s="113"/>
      <c r="W98" s="113"/>
      <c r="X98" s="113"/>
      <c r="Y98" s="113"/>
      <c r="Z98" s="113"/>
      <c r="AA98" s="113"/>
      <c r="AB98" s="113"/>
      <c r="AC98" s="113"/>
      <c r="AD98" s="113"/>
      <c r="AE98" s="113"/>
      <c r="AF98" s="113"/>
      <c r="AG98" s="113"/>
      <c r="AH98" s="113"/>
      <c r="AI98" s="113"/>
      <c r="AJ98" s="113"/>
      <c r="AK98" s="113"/>
      <c r="AL98" s="113"/>
      <c r="AM98" s="113"/>
      <c r="AN98" s="113"/>
    </row>
    <row r="99" spans="1:40" x14ac:dyDescent="0.2">
      <c r="A99" t="s">
        <v>1091</v>
      </c>
      <c r="B99" s="86" t="s">
        <v>1092</v>
      </c>
      <c r="C99" t="str">
        <f t="shared" si="30"/>
        <v>Brisbane2+3</v>
      </c>
      <c r="D99" s="46">
        <f t="shared" ref="D99" si="32">+F99</f>
        <v>882.24448165802869</v>
      </c>
      <c r="E99" s="46">
        <f>+F99</f>
        <v>882.24448165802869</v>
      </c>
      <c r="F99" s="46">
        <f>IF(+DropINTable!AD78=0,DropINTable!AE78,DropINTable!AD78)</f>
        <v>882.24448165802869</v>
      </c>
      <c r="G99" s="46">
        <f>IF(+DropINTable!AE78=0,DropINTable!AF78,DropINTable!AE78)</f>
        <v>882.24448165802869</v>
      </c>
      <c r="H99" s="46">
        <f>IF(+DropINTable!AF78=0,DropINTable!AG78,DropINTable!AF78)</f>
        <v>926.04029624562963</v>
      </c>
      <c r="I99" s="46">
        <f>IF(+DropINTable!AG78=0,DropINTable!AH78,DropINTable!AG78)</f>
        <v>986.52367448204302</v>
      </c>
      <c r="J99" s="46">
        <f>IF(+DropINTable!AH78=0,DropINTable!AI78,DropINTable!AH78)</f>
        <v>1074.3658081587348</v>
      </c>
      <c r="K99" s="46">
        <f>IF(+DropINTable!AI78=0,DropINTable!AJ78,DropINTable!AI78)</f>
        <v>1148.9277951760821</v>
      </c>
      <c r="L99" s="46">
        <f>IF(+DropINTable!AJ78=0,DropINTable!AK78,DropINTable!AJ78)</f>
        <v>1238.5075163350921</v>
      </c>
      <c r="M99" s="46">
        <f>IF(+DropINTable!AK78=0,DropINTable!AL78,DropINTable!AK78)</f>
        <v>1285.9340245149378</v>
      </c>
      <c r="N99" s="46">
        <f>IF(+DropINTable!AL78=0,DropINTable!AM78,DropINTable!AL78)</f>
        <v>1341.3796456429379</v>
      </c>
      <c r="O99" s="46">
        <f>IF(+DropINTable!AM78=0,DropINTable!AN78,DropINTable!AM78)</f>
        <v>1473.7914279245067</v>
      </c>
      <c r="P99" s="46">
        <f>IF(+DropINTable!AN78=0,DropINTable!AO78,DropINTable!AN78)</f>
        <v>1630.3108198557891</v>
      </c>
      <c r="Q99" s="46">
        <f>IF(+DropINTable!AO78=0,DropINTable!AP78,DropINTable!AO78)</f>
        <v>1667.6177832906119</v>
      </c>
      <c r="R99" s="46"/>
      <c r="S99" s="113"/>
      <c r="T99" s="113"/>
      <c r="U99" s="113"/>
      <c r="V99" s="113"/>
      <c r="W99" s="113"/>
      <c r="X99" s="113"/>
      <c r="Y99" s="113"/>
      <c r="Z99" s="113"/>
      <c r="AA99" s="113"/>
      <c r="AB99" s="113"/>
      <c r="AC99" s="113"/>
      <c r="AD99" s="113"/>
      <c r="AE99" s="113"/>
      <c r="AF99" s="113"/>
      <c r="AG99" s="113"/>
      <c r="AH99" s="113"/>
      <c r="AI99" s="113"/>
      <c r="AJ99" s="113"/>
      <c r="AK99" s="113"/>
      <c r="AL99" s="113"/>
      <c r="AM99" s="113"/>
      <c r="AN99" s="113"/>
    </row>
    <row r="100" spans="1:40" x14ac:dyDescent="0.2">
      <c r="B100" s="86" t="s">
        <v>1093</v>
      </c>
      <c r="C100" t="str">
        <f t="shared" ref="C100:C102" si="33">+CONCATENATE(A$95,B100)</f>
        <v>Brisbane2+4</v>
      </c>
      <c r="D100" s="46">
        <f>+D99+Per_child_accounting!$AD$57</f>
        <v>976.93558373955511</v>
      </c>
      <c r="E100" s="46">
        <f>+E99+Per_child_accounting!$AD$57</f>
        <v>976.93558373955511</v>
      </c>
      <c r="F100" s="46">
        <f>+F99+Per_child_accounting!AD$57</f>
        <v>976.93558373955511</v>
      </c>
      <c r="G100" s="46">
        <f>+G99+Per_child_accounting!AE$57</f>
        <v>976.91287070917303</v>
      </c>
      <c r="H100" s="46">
        <f>+H99+Per_child_accounting!AF$57</f>
        <v>1020.6673874132242</v>
      </c>
      <c r="I100" s="46">
        <f>+I99+Per_child_accounting!AG$57</f>
        <v>1081.0937346287096</v>
      </c>
      <c r="J100" s="46">
        <f>+J99+Per_child_accounting!AH$57</f>
        <v>1168.8530387565168</v>
      </c>
      <c r="K100" s="46">
        <f>+K99+Per_child_accounting!AI$57</f>
        <v>1243.3447171945395</v>
      </c>
      <c r="L100" s="46">
        <f>+L99+Per_child_accounting!AJ$57</f>
        <v>1332.8399670280205</v>
      </c>
      <c r="M100" s="46">
        <f>+M99+Per_child_accounting!AK$57</f>
        <v>1380.2217562369119</v>
      </c>
      <c r="N100" s="46">
        <f>+N99+Per_child_accounting!AL$57</f>
        <v>1435.6150919799693</v>
      </c>
      <c r="O100" s="46">
        <f>+O99+Per_child_accounting!AM$57</f>
        <v>1567.9020200988348</v>
      </c>
      <c r="P100" s="46">
        <f>+P99+Per_child_accounting!AN$57</f>
        <v>1724.2738223447375</v>
      </c>
      <c r="Q100" s="46">
        <f>+Q99+Per_child_accounting!AO$57</f>
        <v>1761.545603917431</v>
      </c>
      <c r="R100" s="46"/>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row>
    <row r="101" spans="1:40" x14ac:dyDescent="0.2">
      <c r="B101" s="86" t="s">
        <v>1094</v>
      </c>
      <c r="C101" t="str">
        <f t="shared" si="33"/>
        <v>Brisbane2+5</v>
      </c>
      <c r="D101" s="46">
        <f>+D100+Per_child_accounting!$AD$57</f>
        <v>1071.6266858210815</v>
      </c>
      <c r="E101" s="46">
        <f>+E100+Per_child_accounting!$AD$57</f>
        <v>1071.6266858210815</v>
      </c>
      <c r="F101" s="46">
        <f>+F100+Per_child_accounting!$AD$57</f>
        <v>1071.6266858210815</v>
      </c>
      <c r="G101" s="46">
        <f>+G100+Per_child_accounting!AE$57</f>
        <v>1071.5812597603174</v>
      </c>
      <c r="H101" s="46">
        <f>+H100+Per_child_accounting!AF$57</f>
        <v>1115.2944785808188</v>
      </c>
      <c r="I101" s="46">
        <f>+I100+Per_child_accounting!AG$57</f>
        <v>1175.6637947753763</v>
      </c>
      <c r="J101" s="46">
        <f>+J100+Per_child_accounting!AH$57</f>
        <v>1263.3402693542987</v>
      </c>
      <c r="K101" s="46">
        <f>+K100+Per_child_accounting!AI$57</f>
        <v>1337.7616392129967</v>
      </c>
      <c r="L101" s="46">
        <f>+L100+Per_child_accounting!AJ$57</f>
        <v>1427.1724177209489</v>
      </c>
      <c r="M101" s="46">
        <f>+M100+Per_child_accounting!AK$57</f>
        <v>1474.509487958886</v>
      </c>
      <c r="N101" s="46">
        <f>+N100+Per_child_accounting!AL$57</f>
        <v>1529.8505383170007</v>
      </c>
      <c r="O101" s="46">
        <f>+O100+Per_child_accounting!AM$57</f>
        <v>1662.0126122731629</v>
      </c>
      <c r="P101" s="46">
        <f>+P100+Per_child_accounting!AN$57</f>
        <v>1818.2368248336859</v>
      </c>
      <c r="Q101" s="46">
        <f>+Q100+Per_child_accounting!AO$57</f>
        <v>1855.4734245442501</v>
      </c>
      <c r="R101" s="46"/>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row>
    <row r="102" spans="1:40" x14ac:dyDescent="0.2">
      <c r="B102" s="86" t="s">
        <v>1095</v>
      </c>
      <c r="C102" t="str">
        <f t="shared" si="33"/>
        <v>Brisbane2+6</v>
      </c>
      <c r="D102" s="46">
        <f>+D101+Per_child_accounting!$AD$57</f>
        <v>1166.317787902608</v>
      </c>
      <c r="E102" s="46">
        <f>+E101+Per_child_accounting!$AD$57</f>
        <v>1166.317787902608</v>
      </c>
      <c r="F102" s="46">
        <f>+F101+Per_child_accounting!$AD$57</f>
        <v>1166.317787902608</v>
      </c>
      <c r="G102" s="46">
        <f>+G101+Per_child_accounting!AE$57</f>
        <v>1166.2496488114616</v>
      </c>
      <c r="H102" s="46">
        <f>+H101+Per_child_accounting!AF$57</f>
        <v>1209.9215697484133</v>
      </c>
      <c r="I102" s="46">
        <f>+I101+Per_child_accounting!AG$57</f>
        <v>1270.2338549220431</v>
      </c>
      <c r="J102" s="46">
        <f>+J101+Per_child_accounting!AH$57</f>
        <v>1357.8274999520806</v>
      </c>
      <c r="K102" s="46">
        <f>+K101+Per_child_accounting!AI$57</f>
        <v>1432.1785612314538</v>
      </c>
      <c r="L102" s="46">
        <f>+L101+Per_child_accounting!AJ$57</f>
        <v>1521.5048684138774</v>
      </c>
      <c r="M102" s="46">
        <f>+M101+Per_child_accounting!AK$57</f>
        <v>1568.7972196808601</v>
      </c>
      <c r="N102" s="46">
        <f>+N101+Per_child_accounting!AL$57</f>
        <v>1624.085984654032</v>
      </c>
      <c r="O102" s="46">
        <f>+O101+Per_child_accounting!AM$57</f>
        <v>1756.1232044474909</v>
      </c>
      <c r="P102" s="46">
        <f>+P101+Per_child_accounting!AN$57</f>
        <v>1912.1998273226343</v>
      </c>
      <c r="Q102" s="46">
        <f>+Q101+Per_child_accounting!AO$57</f>
        <v>1949.4012451710691</v>
      </c>
      <c r="R102" s="46"/>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row>
    <row r="103" spans="1:40" x14ac:dyDescent="0.2">
      <c r="B103" s="86"/>
      <c r="D103" s="46"/>
      <c r="E103" s="46"/>
      <c r="F103" s="46"/>
      <c r="G103" s="46"/>
      <c r="H103" s="46"/>
      <c r="I103" s="46"/>
      <c r="J103" s="46"/>
      <c r="K103" s="46"/>
      <c r="L103" s="46"/>
      <c r="M103" s="46"/>
      <c r="N103" s="46"/>
      <c r="O103" s="46"/>
      <c r="P103" s="46"/>
      <c r="Q103" s="46"/>
      <c r="R103" s="46"/>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row>
    <row r="104" spans="1:40" x14ac:dyDescent="0.2">
      <c r="A104" t="s">
        <v>1096</v>
      </c>
      <c r="B104" s="86" t="s">
        <v>1097</v>
      </c>
      <c r="C104" t="str">
        <f t="shared" si="30"/>
        <v>Brisbane1+0</v>
      </c>
      <c r="D104" s="46">
        <f>IF(+DropINTable!AB80=0,DropINTable!AC80,DropINTable!AB80)</f>
        <v>296.62314157242787</v>
      </c>
      <c r="E104" s="46">
        <f>IF(+DropINTable!AC80=0,DropINTable!AD80,DropINTable!AC80)</f>
        <v>313.76439699866313</v>
      </c>
      <c r="F104" s="46">
        <f>IF(+DropINTable!AD80=0,DropINTable!AE80,DropINTable!AD80)</f>
        <v>329.91272142758856</v>
      </c>
      <c r="G104" s="46">
        <f>IF(+DropINTable!AE80=0,DropINTable!AF80,DropINTable!AE80)</f>
        <v>353.61650415831053</v>
      </c>
      <c r="H104" s="46">
        <f>IF(+DropINTable!AF80=0,DropINTable!AG80,DropINTable!AF80)</f>
        <v>396.71728467431922</v>
      </c>
      <c r="I104" s="46">
        <f>IF(+DropINTable!AG80=0,DropINTable!AH80,DropINTable!AG80)</f>
        <v>456.2407982634503</v>
      </c>
      <c r="J104" s="46">
        <f>IF(+DropINTable!AH80=0,DropINTable!AI80,DropINTable!AH80)</f>
        <v>542.68888900934485</v>
      </c>
      <c r="K104" s="46">
        <f>IF(+DropINTable!AI80=0,DropINTable!AJ80,DropINTable!AI80)</f>
        <v>616.06758603444848</v>
      </c>
      <c r="L104" s="46">
        <f>IF(+DropINTable!AJ80=0,DropINTable!AK80,DropINTable!AJ80)</f>
        <v>704.2256857467828</v>
      </c>
      <c r="M104" s="46">
        <f>IF(+DropINTable!AK80=0,DropINTable!AL80,DropINTable!AK80)</f>
        <v>750.89954454151552</v>
      </c>
      <c r="N104" s="46">
        <f>IF(+DropINTable!AL80=0,DropINTable!AM80,DropINTable!AL80)</f>
        <v>805.4652463850515</v>
      </c>
      <c r="O104" s="46">
        <f>IF(+DropINTable!AM80=0,DropINTable!AN80,DropINTable!AM80)</f>
        <v>935.7756716848246</v>
      </c>
      <c r="P104" s="46">
        <f>IF(+DropINTable!AN80=0,DropINTable!AO80,DropINTable!AN80)</f>
        <v>1089.811121780217</v>
      </c>
      <c r="Q104" s="46">
        <f>IF(+DropINTable!AO80=0,DropINTable!AP80,DropINTable!AO80)</f>
        <v>1126.5260261830963</v>
      </c>
      <c r="R104" s="46"/>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row>
    <row r="105" spans="1:40" x14ac:dyDescent="0.2">
      <c r="A105" t="s">
        <v>1098</v>
      </c>
      <c r="B105" s="86" t="s">
        <v>1099</v>
      </c>
      <c r="C105" t="str">
        <f t="shared" si="30"/>
        <v>Brisbane1+1</v>
      </c>
      <c r="D105" s="46">
        <f>IF(+DropINTable!AB81=0,DropINTable!AC81,DropINTable!AB81)</f>
        <v>413.4673266053685</v>
      </c>
      <c r="E105" s="46">
        <f>IF(+DropINTable!AC81=0,DropINTable!AD81,DropINTable!AC81)</f>
        <v>413.4673266053685</v>
      </c>
      <c r="F105" s="46">
        <f>IF(+DropINTable!AD81=0,DropINTable!AE81,DropINTable!AD81)</f>
        <v>429.51511493479887</v>
      </c>
      <c r="G105" s="46">
        <f>IF(+DropINTable!AE81=0,DropINTable!AF81,DropINTable!AE81)</f>
        <v>453.07132291996936</v>
      </c>
      <c r="H105" s="46">
        <f>IF(+DropINTable!AF81=0,DropINTable!AG81,DropINTable!AF81)</f>
        <v>495.90376941524494</v>
      </c>
      <c r="I105" s="46">
        <f>IF(+DropINTable!AG81=0,DropINTable!AH81,DropINTable!AG81)</f>
        <v>555.05670422436719</v>
      </c>
      <c r="J105" s="46">
        <f>IF(+DropINTable!AH81=0,DropINTable!AI81,DropINTable!AH81)</f>
        <v>640.9665878309994</v>
      </c>
      <c r="K105" s="46">
        <f>IF(+DropINTable!AI81=0,DropINTable!AJ81,DropINTable!AI81)</f>
        <v>713.88844668363481</v>
      </c>
      <c r="L105" s="46">
        <f>IF(+DropINTable!AJ81=0,DropINTable!AK81,DropINTable!AJ81)</f>
        <v>801.49769685747617</v>
      </c>
      <c r="M105" s="46">
        <f>IF(+DropINTable!AK81=0,DropINTable!AL81,DropINTable!AK81)</f>
        <v>847.88097425046328</v>
      </c>
      <c r="N105" s="46">
        <f>IF(+DropINTable!AL81=0,DropINTable!AM81,DropINTable!AL81)</f>
        <v>902.10696160932071</v>
      </c>
      <c r="O105" s="46">
        <f>IF(+DropINTable!AM81=0,DropINTable!AN81,DropINTable!AM81)</f>
        <v>1031.6061079094941</v>
      </c>
      <c r="P105" s="46">
        <f>IF(+DropINTable!AN81=0,DropINTable!AO81,DropINTable!AN81)</f>
        <v>1184.682569627266</v>
      </c>
      <c r="Q105" s="46">
        <f>IF(+DropINTable!AO81=0,DropINTable!AP81,DropINTable!AO81)</f>
        <v>1221.1688983878009</v>
      </c>
      <c r="R105" s="46"/>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row>
    <row r="106" spans="1:40" x14ac:dyDescent="0.2">
      <c r="A106" t="s">
        <v>1100</v>
      </c>
      <c r="B106" s="86" t="s">
        <v>1101</v>
      </c>
      <c r="C106" t="str">
        <f t="shared" si="30"/>
        <v>Brisbane1+2</v>
      </c>
      <c r="D106" s="46">
        <f>IF(+DropINTable!AB82=0,DropINTable!AC82,DropINTable!AB82)</f>
        <v>531.20474010355053</v>
      </c>
      <c r="E106" s="46">
        <f>IF(+DropINTable!AC82=0,DropINTable!AD82,DropINTable!AC82)</f>
        <v>531.20474010355053</v>
      </c>
      <c r="F106" s="46">
        <f>IF(+DropINTable!AD82=0,DropINTable!AE82,DropINTable!AD82)</f>
        <v>547.26379216014402</v>
      </c>
      <c r="G106" s="46">
        <f>IF(+DropINTable!AE82=0,DropINTable!AF82,DropINTable!AE82)</f>
        <v>570.83653891905635</v>
      </c>
      <c r="H106" s="46">
        <f>IF(+DropINTable!AF82=0,DropINTable!AG82,DropINTable!AF82)</f>
        <v>613.69905184099912</v>
      </c>
      <c r="I106" s="46">
        <f>IF(+DropINTable!AG82=0,DropINTable!AH82,DropINTable!AG82)</f>
        <v>672.89351201354111</v>
      </c>
      <c r="J106" s="46">
        <f>IF(+DropINTable!AH82=0,DropINTable!AI82,DropINTable!AH82)</f>
        <v>758.86370627514361</v>
      </c>
      <c r="K106" s="46">
        <f>IF(+DropINTable!AI82=0,DropINTable!AJ82,DropINTable!AI82)</f>
        <v>831.83675576149687</v>
      </c>
      <c r="L106" s="46">
        <f>IF(+DropINTable!AJ82=0,DropINTable!AK82,DropINTable!AJ82)</f>
        <v>919.50751054421596</v>
      </c>
      <c r="M106" s="46">
        <f>IF(+DropINTable!AK82=0,DropINTable!AL82,DropINTable!AK82)</f>
        <v>965.92334485071217</v>
      </c>
      <c r="N106" s="46">
        <f>IF(+DropINTable!AL82=0,DropINTable!AM82,DropINTable!AL82)</f>
        <v>1020.1874032635917</v>
      </c>
      <c r="O106" s="46">
        <f>IF(+DropINTable!AM82=0,DropINTable!AN82,DropINTable!AM82)</f>
        <v>1149.77745662341</v>
      </c>
      <c r="P106" s="46">
        <f>IF(+DropINTable!AN82=0,DropINTable!AO82,DropINTable!AN82)</f>
        <v>1302.9613806317088</v>
      </c>
      <c r="Q106" s="46">
        <f>IF(+DropINTable!AO82=0,DropINTable!AP82,DropINTable!AO82)</f>
        <v>1339.4733178454735</v>
      </c>
      <c r="R106" s="46"/>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row>
    <row r="107" spans="1:40" x14ac:dyDescent="0.2">
      <c r="A107" t="s">
        <v>1102</v>
      </c>
      <c r="B107" s="86" t="s">
        <v>1103</v>
      </c>
      <c r="C107" t="str">
        <f t="shared" si="30"/>
        <v>Brisbane1+3</v>
      </c>
      <c r="D107" s="46">
        <f t="shared" ref="D107" si="34">+E107</f>
        <v>665.01246938548911</v>
      </c>
      <c r="E107" s="46">
        <f>IF(+DropINTable!AC83=0,DropINTable!AD83,DropINTable!AC83)</f>
        <v>665.01246938548911</v>
      </c>
      <c r="F107" s="46">
        <f>IF(+DropINTable!AD83=0,DropINTable!AE83,DropINTable!AD83)</f>
        <v>665.01246938548911</v>
      </c>
      <c r="G107" s="46">
        <f>IF(+DropINTable!AE83=0,DropINTable!AF83,DropINTable!AE83)</f>
        <v>688.60175491814334</v>
      </c>
      <c r="H107" s="46">
        <f>IF(+DropINTable!AF83=0,DropINTable!AG83,DropINTable!AF83)</f>
        <v>731.4943342667533</v>
      </c>
      <c r="I107" s="46">
        <f>IF(+DropINTable!AG83=0,DropINTable!AH83,DropINTable!AG83)</f>
        <v>790.73031980271503</v>
      </c>
      <c r="J107" s="46">
        <f>IF(+DropINTable!AH83=0,DropINTable!AI83,DropINTable!AH83)</f>
        <v>876.76082471928783</v>
      </c>
      <c r="K107" s="46">
        <f>IF(+DropINTable!AI83=0,DropINTable!AJ83,DropINTable!AI83)</f>
        <v>949.78506483935894</v>
      </c>
      <c r="L107" s="46">
        <f>IF(+DropINTable!AJ83=0,DropINTable!AK83,DropINTable!AJ83)</f>
        <v>1037.5173242309556</v>
      </c>
      <c r="M107" s="46">
        <f>IF(+DropINTable!AK83=0,DropINTable!AL83,DropINTable!AK83)</f>
        <v>1083.9657154509609</v>
      </c>
      <c r="N107" s="46">
        <f>IF(+DropINTable!AL83=0,DropINTable!AM83,DropINTable!AL83)</f>
        <v>1138.2678449178627</v>
      </c>
      <c r="O107" s="46">
        <f>IF(+DropINTable!AM83=0,DropINTable!AN83,DropINTable!AM83)</f>
        <v>1267.9488053373259</v>
      </c>
      <c r="P107" s="46">
        <f>IF(+DropINTable!AN83=0,DropINTable!AO83,DropINTable!AN83)</f>
        <v>1421.2401916361516</v>
      </c>
      <c r="Q107" s="46">
        <f>IF(+DropINTable!AO83=0,DropINTable!AP83,DropINTable!AO83)</f>
        <v>1457.7777373031461</v>
      </c>
      <c r="R107" s="46"/>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row>
    <row r="108" spans="1:40" x14ac:dyDescent="0.2">
      <c r="B108" s="86" t="s">
        <v>1104</v>
      </c>
      <c r="C108" t="str">
        <f t="shared" ref="C108:C110" si="35">+CONCATENATE(A$95,B108)</f>
        <v>Brisbane1+4</v>
      </c>
      <c r="D108" s="46">
        <f>+D107+Per_child_accounting!AC$60</f>
        <v>764.71539899219442</v>
      </c>
      <c r="E108" s="46">
        <f>+E107+Per_child_accounting!AC$60</f>
        <v>764.71539899219442</v>
      </c>
      <c r="F108" s="46">
        <f>+F107+Per_child_accounting!AD$60</f>
        <v>764.61486289269942</v>
      </c>
      <c r="G108" s="46">
        <f>+G107+Per_child_accounting!AE$60</f>
        <v>788.05657367980211</v>
      </c>
      <c r="H108" s="46">
        <f>+H107+Per_child_accounting!AF$60</f>
        <v>830.68081900767902</v>
      </c>
      <c r="I108" s="46">
        <f>+I107+Per_child_accounting!AG$60</f>
        <v>889.54622576363192</v>
      </c>
      <c r="J108" s="46">
        <f>+J107+Per_child_accounting!AH$60</f>
        <v>975.03852354094238</v>
      </c>
      <c r="K108" s="46">
        <f>+K107+Per_child_accounting!AI$60</f>
        <v>1047.6059254885454</v>
      </c>
      <c r="L108" s="46">
        <f>+L107+Per_child_accounting!AJ$60</f>
        <v>1134.7893353416489</v>
      </c>
      <c r="M108" s="46">
        <f>+M107+Per_child_accounting!AK$60</f>
        <v>1180.9471451599088</v>
      </c>
      <c r="N108" s="46">
        <f>+N107+Per_child_accounting!AL$60</f>
        <v>1234.9095601421318</v>
      </c>
      <c r="O108" s="46">
        <f>+O107+Per_child_accounting!AM$60</f>
        <v>1363.7792415619954</v>
      </c>
      <c r="P108" s="46">
        <f>+P107+Per_child_accounting!AN$60</f>
        <v>1516.1116394832006</v>
      </c>
      <c r="Q108" s="46">
        <f>+Q107+Per_child_accounting!AO$60</f>
        <v>1552.4206095078507</v>
      </c>
      <c r="R108" s="46"/>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row>
    <row r="109" spans="1:40" x14ac:dyDescent="0.2">
      <c r="B109" s="86" t="s">
        <v>1105</v>
      </c>
      <c r="C109" t="str">
        <f t="shared" si="35"/>
        <v>Brisbane1+5</v>
      </c>
      <c r="D109" s="46">
        <f>+D108+Per_child_accounting!AC$60</f>
        <v>864.41832859889973</v>
      </c>
      <c r="E109" s="46">
        <f>+E108+Per_child_accounting!AC$60</f>
        <v>864.41832859889973</v>
      </c>
      <c r="F109" s="46">
        <f>+F108+Per_child_accounting!AD$60</f>
        <v>864.21725639990973</v>
      </c>
      <c r="G109" s="46">
        <f>+G108+Per_child_accounting!AE$60</f>
        <v>887.51139244146088</v>
      </c>
      <c r="H109" s="46">
        <f>+H108+Per_child_accounting!AF$60</f>
        <v>929.86730374860474</v>
      </c>
      <c r="I109" s="46">
        <f>+I108+Per_child_accounting!AG$60</f>
        <v>988.36213172454882</v>
      </c>
      <c r="J109" s="46">
        <f>+J108+Per_child_accounting!AH$60</f>
        <v>1073.3162223625968</v>
      </c>
      <c r="K109" s="46">
        <f>+K108+Per_child_accounting!AI$60</f>
        <v>1145.4267861377316</v>
      </c>
      <c r="L109" s="46">
        <f>+L108+Per_child_accounting!AJ$60</f>
        <v>1232.0613464523421</v>
      </c>
      <c r="M109" s="46">
        <f>+M108+Per_child_accounting!AK$60</f>
        <v>1277.9285748688567</v>
      </c>
      <c r="N109" s="46">
        <f>+N108+Per_child_accounting!AL$60</f>
        <v>1331.5512753664011</v>
      </c>
      <c r="O109" s="46">
        <f>+O108+Per_child_accounting!AM$60</f>
        <v>1459.6096777866649</v>
      </c>
      <c r="P109" s="46">
        <f>+P108+Per_child_accounting!AN$60</f>
        <v>1610.9830873302496</v>
      </c>
      <c r="Q109" s="46">
        <f>+Q108+Per_child_accounting!AO$60</f>
        <v>1647.0634817125554</v>
      </c>
      <c r="R109" s="46"/>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row>
    <row r="110" spans="1:40" x14ac:dyDescent="0.2">
      <c r="B110" s="86" t="s">
        <v>1106</v>
      </c>
      <c r="C110" t="str">
        <f t="shared" si="35"/>
        <v>Brisbane1+6</v>
      </c>
      <c r="D110" s="46">
        <f>+D109+Per_child_accounting!AC$60</f>
        <v>964.12125820560505</v>
      </c>
      <c r="E110" s="46">
        <f>+E109+Per_child_accounting!AC$60</f>
        <v>964.12125820560505</v>
      </c>
      <c r="F110" s="46">
        <f>+F109+Per_child_accounting!AD$60</f>
        <v>963.81964990712004</v>
      </c>
      <c r="G110" s="46">
        <f>+G109+Per_child_accounting!AE$60</f>
        <v>986.96621120311966</v>
      </c>
      <c r="H110" s="46">
        <f>+H109+Per_child_accounting!AF$60</f>
        <v>1029.0537884895305</v>
      </c>
      <c r="I110" s="46">
        <f>+I109+Per_child_accounting!AG$60</f>
        <v>1087.1780376854658</v>
      </c>
      <c r="J110" s="46">
        <f>+J109+Per_child_accounting!AH$60</f>
        <v>1171.5939211842515</v>
      </c>
      <c r="K110" s="46">
        <f>+K109+Per_child_accounting!AI$60</f>
        <v>1243.2476467869178</v>
      </c>
      <c r="L110" s="46">
        <f>+L109+Per_child_accounting!AJ$60</f>
        <v>1329.3333575630354</v>
      </c>
      <c r="M110" s="46">
        <f>+M109+Per_child_accounting!AK$60</f>
        <v>1374.9100045778046</v>
      </c>
      <c r="N110" s="46">
        <f>+N109+Per_child_accounting!AL$60</f>
        <v>1428.1929905906704</v>
      </c>
      <c r="O110" s="46">
        <f>+O109+Per_child_accounting!AM$60</f>
        <v>1555.4401140113343</v>
      </c>
      <c r="P110" s="46">
        <f>+P109+Per_child_accounting!AN$60</f>
        <v>1705.8545351772987</v>
      </c>
      <c r="Q110" s="46">
        <f>+Q109+Per_child_accounting!AO$60</f>
        <v>1741.70635391726</v>
      </c>
      <c r="R110" s="46"/>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row>
    <row r="111" spans="1:40" x14ac:dyDescent="0.2">
      <c r="D111" s="46"/>
      <c r="E111" s="46"/>
      <c r="F111" s="46"/>
      <c r="G111" s="46"/>
      <c r="H111" s="46"/>
      <c r="I111" s="46"/>
      <c r="J111" s="46"/>
      <c r="K111" s="46"/>
      <c r="L111" s="46"/>
      <c r="M111" s="46"/>
      <c r="N111" s="46"/>
      <c r="O111" s="46"/>
      <c r="P111" s="46"/>
      <c r="Q111" s="46"/>
      <c r="R111" s="46"/>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row>
    <row r="112" spans="1:40" ht="28.5" x14ac:dyDescent="0.45">
      <c r="A112" s="368" t="s">
        <v>237</v>
      </c>
      <c r="B112" s="368"/>
      <c r="C112" s="368"/>
      <c r="D112" s="46"/>
      <c r="E112" s="46"/>
      <c r="F112" s="46"/>
      <c r="G112" s="46"/>
      <c r="H112" s="46"/>
      <c r="I112" s="46"/>
      <c r="J112" s="46"/>
      <c r="K112" s="46"/>
      <c r="L112" s="46"/>
      <c r="M112" s="46"/>
      <c r="N112" s="46"/>
      <c r="O112" s="46"/>
      <c r="P112" s="46"/>
      <c r="Q112" s="46"/>
      <c r="R112" s="46"/>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row>
    <row r="113" spans="1:40" x14ac:dyDescent="0.2">
      <c r="A113" t="s">
        <v>1085</v>
      </c>
      <c r="B113" s="86" t="s">
        <v>1086</v>
      </c>
      <c r="C113" t="str">
        <f>+CONCATENATE(A$112,B113)</f>
        <v>Balance of QLD2+0</v>
      </c>
      <c r="D113" s="46">
        <f>IF(+DropINTable!AB87=0,DropINTable!AC87,DropINTable!AB87)</f>
        <v>666.44378721898829</v>
      </c>
      <c r="E113" s="46">
        <f>IF(+DropINTable!AC87=0,DropINTable!AD87,DropINTable!AC87)</f>
        <v>666.44378721898829</v>
      </c>
      <c r="F113" s="46">
        <f>IF(+DropINTable!AD87=0,DropINTable!AE87,DropINTable!AD87)</f>
        <v>682.74889105014927</v>
      </c>
      <c r="G113" s="46">
        <f>IF(+DropINTable!AE87=0,DropINTable!AF87,DropINTable!AE87)</f>
        <v>706.68280581750162</v>
      </c>
      <c r="H113" s="46">
        <f>IF(+DropINTable!AF87=0,DropINTable!AG87,DropINTable!AF87)</f>
        <v>750.20203857648255</v>
      </c>
      <c r="I113" s="46">
        <f>IF(+DropINTable!AG87=0,DropINTable!AH87,DropINTable!AG87)</f>
        <v>810.30344877596292</v>
      </c>
      <c r="J113" s="46">
        <f>IF(+DropINTable!AH87=0,DropINTable!AI87,DropINTable!AH87)</f>
        <v>897.59083710052892</v>
      </c>
      <c r="K113" s="46">
        <f>IF(+DropINTable!AI87=0,DropINTable!AJ87,DropINTable!AI87)</f>
        <v>971.68194553573358</v>
      </c>
      <c r="L113" s="46">
        <f>IF(+DropINTable!AJ87=0,DropINTable!AK87,DropINTable!AJ87)</f>
        <v>1060.6959472153944</v>
      </c>
      <c r="M113" s="46">
        <f>IF(+DropINTable!AK87=0,DropINTable!AL87,DropINTable!AK87)</f>
        <v>1107.8229463238663</v>
      </c>
      <c r="N113" s="46">
        <f>IF(+DropINTable!AL87=0,DropINTable!AM87,DropINTable!AL87)</f>
        <v>1162.9184115099317</v>
      </c>
      <c r="O113" s="46">
        <f>IF(+DropINTable!AM87=0,DropINTable!AN87,DropINTable!AM87)</f>
        <v>1294.4939795800444</v>
      </c>
      <c r="P113" s="46">
        <f>IF(+DropINTable!AN87=0,DropINTable!AO87,DropINTable!AN87)</f>
        <v>1450.0249130642978</v>
      </c>
      <c r="Q113" s="46">
        <f>IF(+DropINTable!AO87=0,DropINTable!AP87,DropINTable!AO87)</f>
        <v>1487.0962743172024</v>
      </c>
      <c r="R113" s="46"/>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row>
    <row r="114" spans="1:40" x14ac:dyDescent="0.2">
      <c r="A114" t="s">
        <v>1087</v>
      </c>
      <c r="B114" s="86" t="s">
        <v>1088</v>
      </c>
      <c r="C114" t="str">
        <f t="shared" ref="C114:C124" si="36">+CONCATENATE(A$112,B114)</f>
        <v>Balance of QLD2+1</v>
      </c>
      <c r="D114" s="46">
        <f t="shared" ref="D114:D115" si="37">+E114</f>
        <v>777.37697598235809</v>
      </c>
      <c r="E114" s="46">
        <f>IF(+DropINTable!AC88=0,DropINTable!AD88,DropINTable!AC88)</f>
        <v>777.37697598235809</v>
      </c>
      <c r="F114" s="46">
        <f>IF(+DropINTable!AD88=0,DropINTable!AE88,DropINTable!AD88)</f>
        <v>777.37697598235809</v>
      </c>
      <c r="G114" s="46">
        <f>IF(+DropINTable!AE88=0,DropINTable!AF88,DropINTable!AE88)</f>
        <v>801.28818028657054</v>
      </c>
      <c r="H114" s="46">
        <f>IF(+DropINTable!AF88=0,DropINTable!AG88,DropINTable!AF88)</f>
        <v>844.76611604090976</v>
      </c>
      <c r="I114" s="46">
        <f>IF(+DropINTable!AG88=0,DropINTable!AH88,DropINTable!AG88)</f>
        <v>904.81049193999138</v>
      </c>
      <c r="J114" s="46">
        <f>IF(+DropINTable!AH88=0,DropINTable!AI88,DropINTable!AH88)</f>
        <v>992.01505159574788</v>
      </c>
      <c r="K114" s="46">
        <f>IF(+DropINTable!AI88=0,DropINTable!AJ88,DropINTable!AI88)</f>
        <v>1066.0358495997834</v>
      </c>
      <c r="L114" s="46">
        <f>IF(+DropINTable!AJ88=0,DropINTable!AK88,DropINTable!AJ88)</f>
        <v>1154.9653836345697</v>
      </c>
      <c r="M114" s="46">
        <f>IF(+DropINTable!AK88=0,DropINTable!AL88,DropINTable!AK88)</f>
        <v>1202.0476591239571</v>
      </c>
      <c r="N114" s="46">
        <f>IF(+DropINTable!AL88=0,DropINTable!AM88,DropINTable!AL88)</f>
        <v>1257.0908419102914</v>
      </c>
      <c r="O114" s="46">
        <f>IF(+DropINTable!AM88=0,DropINTable!AN88,DropINTable!AM88)</f>
        <v>1388.5415530385035</v>
      </c>
      <c r="P114" s="46">
        <f>IF(+DropINTable!AN88=0,DropINTable!AO88,DropINTable!AN88)</f>
        <v>1543.9248961621911</v>
      </c>
      <c r="Q114" s="46">
        <f>IF(+DropINTable!AO88=0,DropINTable!AP88,DropINTable!AO88)</f>
        <v>1580.9610786080477</v>
      </c>
      <c r="R114" s="46"/>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row>
    <row r="115" spans="1:40" x14ac:dyDescent="0.2">
      <c r="A115" t="s">
        <v>1089</v>
      </c>
      <c r="B115" s="86" t="s">
        <v>1090</v>
      </c>
      <c r="C115" t="str">
        <f t="shared" si="36"/>
        <v>Balance of QLD2+2</v>
      </c>
      <c r="D115" s="46">
        <f t="shared" si="37"/>
        <v>855.84810585407286</v>
      </c>
      <c r="E115" s="46">
        <f>IF(+DropINTable!AC89=0,DropINTable!AD89,DropINTable!AC89)</f>
        <v>855.84810585407286</v>
      </c>
      <c r="F115" s="46">
        <f>IF(+DropINTable!AD89=0,DropINTable!AE89,DropINTable!AD89)</f>
        <v>855.84810585407286</v>
      </c>
      <c r="G115" s="46">
        <f>IF(+DropINTable!AE89=0,DropINTable!AF89,DropINTable!AE89)</f>
        <v>879.85247590770587</v>
      </c>
      <c r="H115" s="46">
        <f>IF(+DropINTable!AF89=0,DropINTable!AG89,DropINTable!AF89)</f>
        <v>923.49981700050307</v>
      </c>
      <c r="I115" s="46">
        <f>IF(+DropINTable!AG89=0,DropINTable!AH89,DropINTable!AG89)</f>
        <v>983.77815171145028</v>
      </c>
      <c r="J115" s="46">
        <f>IF(+DropINTable!AH89=0,DropINTable!AI89,DropINTable!AH89)</f>
        <v>1071.3224897956727</v>
      </c>
      <c r="K115" s="46">
        <f>IF(+DropINTable!AI89=0,DropINTable!AJ89,DropINTable!AI89)</f>
        <v>1145.6317050252474</v>
      </c>
      <c r="L115" s="46">
        <f>IF(+DropINTable!AJ89=0,DropINTable!AK89,DropINTable!AJ89)</f>
        <v>1234.9077396121377</v>
      </c>
      <c r="M115" s="46">
        <f>IF(+DropINTable!AK89=0,DropINTable!AL89,DropINTable!AK89)</f>
        <v>1282.1734691825898</v>
      </c>
      <c r="N115" s="46">
        <f>IF(+DropINTable!AL89=0,DropINTable!AM89,DropINTable!AL89)</f>
        <v>1337.431122344507</v>
      </c>
      <c r="O115" s="46">
        <f>IF(+DropINTable!AM89=0,DropINTable!AN89,DropINTable!AM89)</f>
        <v>1469.394013999552</v>
      </c>
      <c r="P115" s="46">
        <f>IF(+DropINTable!AN89=0,DropINTable!AO89,DropINTable!AN89)</f>
        <v>1625.3827918483819</v>
      </c>
      <c r="Q115" s="46">
        <f>IF(+DropINTable!AO89=0,DropINTable!AP89,DropINTable!AO89)</f>
        <v>1662.563281451675</v>
      </c>
      <c r="R115" s="46"/>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row>
    <row r="116" spans="1:40" x14ac:dyDescent="0.2">
      <c r="A116" t="s">
        <v>1091</v>
      </c>
      <c r="B116" s="86" t="s">
        <v>1092</v>
      </c>
      <c r="C116" t="str">
        <f t="shared" si="36"/>
        <v>Balance of QLD2+3</v>
      </c>
      <c r="D116" s="46">
        <f t="shared" ref="D116" si="38">+F116</f>
        <v>949.07251808351612</v>
      </c>
      <c r="E116" s="46">
        <f>+F116</f>
        <v>949.07251808351612</v>
      </c>
      <c r="F116" s="46">
        <f>IF(+DropINTable!AD90=0,DropINTable!AE90,DropINTable!AD90)</f>
        <v>949.07251808351612</v>
      </c>
      <c r="G116" s="46">
        <f>IF(+DropINTable!AE90=0,DropINTable!AF90,DropINTable!AE90)</f>
        <v>949.07251808351612</v>
      </c>
      <c r="H116" s="46">
        <f>IF(+DropINTable!AF90=0,DropINTable!AG90,DropINTable!AF90)</f>
        <v>992.86833124103896</v>
      </c>
      <c r="I116" s="46">
        <f>IF(+DropINTable!AG90=0,DropINTable!AH90,DropINTable!AG90)</f>
        <v>1053.351708455968</v>
      </c>
      <c r="J116" s="46">
        <f>IF(+DropINTable!AH90=0,DropINTable!AI90,DropINTable!AH90)</f>
        <v>1141.1938440005172</v>
      </c>
      <c r="K116" s="46">
        <f>IF(+DropINTable!AI90=0,DropINTable!AJ90,DropINTable!AI90)</f>
        <v>1215.7558308427529</v>
      </c>
      <c r="L116" s="46">
        <f>IF(+DropINTable!AJ90=0,DropINTable!AK90,DropINTable!AJ90)</f>
        <v>1305.3355488497541</v>
      </c>
      <c r="M116" s="46">
        <f>IF(+DropINTable!AK90=0,DropINTable!AL90,DropINTable!AK90)</f>
        <v>1352.7620613490187</v>
      </c>
      <c r="N116" s="46">
        <f>IF(+DropINTable!AL90=0,DropINTable!AM90,DropINTable!AL90)</f>
        <v>1408.2076795584924</v>
      </c>
      <c r="O116" s="46">
        <f>IF(+DropINTable!AM90=0,DropINTable!AN90,DropINTable!AM90)</f>
        <v>1540.6194635911772</v>
      </c>
      <c r="P116" s="46">
        <f>IF(+DropINTable!AN90=0,DropINTable!AO90,DropINTable!AN90)</f>
        <v>1697.1388593749152</v>
      </c>
      <c r="Q116" s="46">
        <f>IF(+DropINTable!AO90=0,DropINTable!AP90,DropINTable!AO90)</f>
        <v>1734.4458167392022</v>
      </c>
      <c r="R116" s="46"/>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row>
    <row r="117" spans="1:40" x14ac:dyDescent="0.2">
      <c r="B117" s="86" t="s">
        <v>1093</v>
      </c>
      <c r="C117" t="str">
        <f t="shared" ref="C117:C119" si="39">+CONCATENATE(A$112,B117)</f>
        <v>Balance of QLD2+4</v>
      </c>
      <c r="D117" s="46">
        <f>+D116+Per_child_accounting!$AD$65</f>
        <v>1043.7006030157249</v>
      </c>
      <c r="E117" s="46">
        <f>+E116+Per_child_accounting!$AD$65</f>
        <v>1043.7006030157249</v>
      </c>
      <c r="F117" s="46">
        <f>+F116+Per_child_accounting!AD$65</f>
        <v>1043.7006030157249</v>
      </c>
      <c r="G117" s="46">
        <f>+G116+Per_child_accounting!AE$65</f>
        <v>1043.677892552585</v>
      </c>
      <c r="H117" s="46">
        <f>+H116+Per_child_accounting!AF$65</f>
        <v>1087.4324087054661</v>
      </c>
      <c r="I117" s="46">
        <f>+I116+Per_child_accounting!AG$65</f>
        <v>1147.8587516199964</v>
      </c>
      <c r="J117" s="46">
        <f>+J116+Per_child_accounting!AH$65</f>
        <v>1235.618058495736</v>
      </c>
      <c r="K117" s="46">
        <f>+K116+Per_child_accounting!AI$65</f>
        <v>1310.1097349068027</v>
      </c>
      <c r="L117" s="46">
        <f>+L116+Per_child_accounting!AJ$65</f>
        <v>1399.6049852689293</v>
      </c>
      <c r="M117" s="46">
        <f>+M116+Per_child_accounting!AK$65</f>
        <v>1446.9867741491096</v>
      </c>
      <c r="N117" s="46">
        <f>+N116+Per_child_accounting!AL$65</f>
        <v>1502.380109958852</v>
      </c>
      <c r="O117" s="46">
        <f>+O116+Per_child_accounting!AM$65</f>
        <v>1634.6670370496363</v>
      </c>
      <c r="P117" s="46">
        <f>+P116+Per_child_accounting!AN$65</f>
        <v>1791.0388424728085</v>
      </c>
      <c r="Q117" s="46">
        <f>+Q116+Per_child_accounting!AO$65</f>
        <v>1828.3106210300475</v>
      </c>
      <c r="R117" s="46"/>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row>
    <row r="118" spans="1:40" x14ac:dyDescent="0.2">
      <c r="B118" s="86" t="s">
        <v>1094</v>
      </c>
      <c r="C118" t="str">
        <f t="shared" si="39"/>
        <v>Balance of QLD2+5</v>
      </c>
      <c r="D118" s="46">
        <f>+D117+Per_child_accounting!$AD$65</f>
        <v>1138.3286879479338</v>
      </c>
      <c r="E118" s="46">
        <f>+E117+Per_child_accounting!$AD$65</f>
        <v>1138.3286879479338</v>
      </c>
      <c r="F118" s="46">
        <f>+F117+Per_child_accounting!$AD$65</f>
        <v>1138.3286879479338</v>
      </c>
      <c r="G118" s="46">
        <f>+G117+Per_child_accounting!AE$65</f>
        <v>1138.283267021654</v>
      </c>
      <c r="H118" s="46">
        <f>+H117+Per_child_accounting!AF$65</f>
        <v>1181.9964861698932</v>
      </c>
      <c r="I118" s="46">
        <f>+I117+Per_child_accounting!AG$65</f>
        <v>1242.3657947840247</v>
      </c>
      <c r="J118" s="46">
        <f>+J117+Per_child_accounting!AH$65</f>
        <v>1330.0422729909551</v>
      </c>
      <c r="K118" s="46">
        <f>+K117+Per_child_accounting!AI$65</f>
        <v>1404.4636389708526</v>
      </c>
      <c r="L118" s="46">
        <f>+L117+Per_child_accounting!AJ$65</f>
        <v>1493.8744216881046</v>
      </c>
      <c r="M118" s="46">
        <f>+M117+Per_child_accounting!AK$65</f>
        <v>1541.2114869492004</v>
      </c>
      <c r="N118" s="46">
        <f>+N117+Per_child_accounting!AL$65</f>
        <v>1596.5525403592117</v>
      </c>
      <c r="O118" s="46">
        <f>+O117+Per_child_accounting!AM$65</f>
        <v>1728.7146105080953</v>
      </c>
      <c r="P118" s="46">
        <f>+P117+Per_child_accounting!AN$65</f>
        <v>1884.9388255707017</v>
      </c>
      <c r="Q118" s="46">
        <f>+Q117+Per_child_accounting!AO$65</f>
        <v>1922.1754253208928</v>
      </c>
      <c r="R118" s="46"/>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row>
    <row r="119" spans="1:40" x14ac:dyDescent="0.2">
      <c r="B119" s="86" t="s">
        <v>1095</v>
      </c>
      <c r="C119" t="str">
        <f t="shared" si="39"/>
        <v>Balance of QLD2+6</v>
      </c>
      <c r="D119" s="46">
        <f>+D118+Per_child_accounting!$AD$65</f>
        <v>1232.9567728801426</v>
      </c>
      <c r="E119" s="46">
        <f>+E118+Per_child_accounting!$AD$65</f>
        <v>1232.9567728801426</v>
      </c>
      <c r="F119" s="46">
        <f>+F118+Per_child_accounting!$AD$65</f>
        <v>1232.9567728801426</v>
      </c>
      <c r="G119" s="46">
        <f>+G118+Per_child_accounting!AE$65</f>
        <v>1232.8886414907229</v>
      </c>
      <c r="H119" s="46">
        <f>+H118+Per_child_accounting!AF$65</f>
        <v>1276.5605636343203</v>
      </c>
      <c r="I119" s="46">
        <f>+I118+Per_child_accounting!AG$65</f>
        <v>1336.8728379480531</v>
      </c>
      <c r="J119" s="46">
        <f>+J118+Per_child_accounting!AH$65</f>
        <v>1424.4664874861742</v>
      </c>
      <c r="K119" s="46">
        <f>+K118+Per_child_accounting!AI$65</f>
        <v>1498.8175430349024</v>
      </c>
      <c r="L119" s="46">
        <f>+L118+Per_child_accounting!AJ$65</f>
        <v>1588.1438581072798</v>
      </c>
      <c r="M119" s="46">
        <f>+M118+Per_child_accounting!AK$65</f>
        <v>1635.4361997492913</v>
      </c>
      <c r="N119" s="46">
        <f>+N118+Per_child_accounting!AL$65</f>
        <v>1690.7249707595713</v>
      </c>
      <c r="O119" s="46">
        <f>+O118+Per_child_accounting!AM$65</f>
        <v>1822.7621839665544</v>
      </c>
      <c r="P119" s="46">
        <f>+P118+Per_child_accounting!AN$65</f>
        <v>1978.838808668595</v>
      </c>
      <c r="Q119" s="46">
        <f>+Q118+Per_child_accounting!AO$65</f>
        <v>2016.0402296117381</v>
      </c>
      <c r="R119" s="46"/>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row>
    <row r="120" spans="1:40" x14ac:dyDescent="0.2">
      <c r="B120" s="86"/>
      <c r="D120" s="46"/>
      <c r="E120" s="46"/>
      <c r="F120" s="46"/>
      <c r="G120" s="46"/>
      <c r="H120" s="46"/>
      <c r="I120" s="46"/>
      <c r="J120" s="46"/>
      <c r="K120" s="46"/>
      <c r="L120" s="46"/>
      <c r="M120" s="46"/>
      <c r="N120" s="46"/>
      <c r="O120" s="46"/>
      <c r="P120" s="46"/>
      <c r="Q120" s="46"/>
      <c r="R120" s="46"/>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row>
    <row r="121" spans="1:40" x14ac:dyDescent="0.2">
      <c r="A121" t="s">
        <v>1096</v>
      </c>
      <c r="B121" s="86" t="s">
        <v>1097</v>
      </c>
      <c r="C121" t="str">
        <f t="shared" si="36"/>
        <v>Balance of QLD1+0</v>
      </c>
      <c r="D121" s="46">
        <f>IF(+DropINTable!AB92=0,DropINTable!AC92,DropINTable!AB92)</f>
        <v>362.39062370183848</v>
      </c>
      <c r="E121" s="46">
        <f>IF(+DropINTable!AC92=0,DropINTable!AD92,DropINTable!AC92)</f>
        <v>379.53187881489634</v>
      </c>
      <c r="F121" s="46">
        <f>IF(+DropINTable!AD92=0,DropINTable!AE92,DropINTable!AD92)</f>
        <v>395.68020395448639</v>
      </c>
      <c r="G121" s="46">
        <f>IF(+DropINTable!AE92=0,DropINTable!AF92,DropINTable!AE92)</f>
        <v>419.38398558328845</v>
      </c>
      <c r="H121" s="46">
        <f>IF(+DropINTable!AF92=0,DropINTable!AG92,DropINTable!AF92)</f>
        <v>462.48476620640503</v>
      </c>
      <c r="I121" s="46">
        <f>IF(+DropINTable!AG92=0,DropINTable!AH92,DropINTable!AG92)</f>
        <v>522.00828079659948</v>
      </c>
      <c r="J121" s="46">
        <f>IF(+DropINTable!AH92=0,DropINTable!AI92,DropINTable!AH92)</f>
        <v>608.45637098736643</v>
      </c>
      <c r="K121" s="46">
        <f>IF(+DropINTable!AI92=0,DropINTable!AJ92,DropINTable!AI92)</f>
        <v>681.83506721562037</v>
      </c>
      <c r="L121" s="46">
        <f>IF(+DropINTable!AJ92=0,DropINTable!AK92,DropINTable!AJ92)</f>
        <v>769.99316838162213</v>
      </c>
      <c r="M121" s="46">
        <f>IF(+DropINTable!AK92=0,DropINTable!AL92,DropINTable!AK92)</f>
        <v>816.66702629615247</v>
      </c>
      <c r="N121" s="46">
        <f>IF(+DropINTable!AL92=0,DropINTable!AM92,DropINTable!AL92)</f>
        <v>871.2327287798355</v>
      </c>
      <c r="O121" s="46">
        <f>IF(+DropINTable!AM92=0,DropINTable!AN92,DropINTable!AM92)</f>
        <v>1001.5431535394843</v>
      </c>
      <c r="P121" s="46">
        <f>IF(+DropINTable!AN92=0,DropINTable!AO92,DropINTable!AN92)</f>
        <v>1155.5786033614806</v>
      </c>
      <c r="Q121" s="46">
        <f>IF(+DropINTable!AO92=0,DropINTable!AP92,DropINTable!AO92)</f>
        <v>1192.2935080577608</v>
      </c>
      <c r="R121" s="46"/>
      <c r="S121" s="113"/>
      <c r="T121" s="113"/>
      <c r="U121" s="113"/>
      <c r="V121" s="113"/>
      <c r="W121" s="113"/>
      <c r="X121" s="113"/>
      <c r="Y121" s="113"/>
      <c r="Z121" s="113"/>
      <c r="AA121" s="113"/>
      <c r="AB121" s="113"/>
      <c r="AC121" s="113"/>
      <c r="AD121" s="113"/>
      <c r="AE121" s="113"/>
      <c r="AF121" s="113"/>
      <c r="AG121" s="113"/>
      <c r="AH121" s="113"/>
      <c r="AI121" s="113"/>
      <c r="AJ121" s="113"/>
      <c r="AK121" s="113"/>
      <c r="AL121" s="113"/>
      <c r="AM121" s="113"/>
      <c r="AN121" s="113"/>
    </row>
    <row r="122" spans="1:40" x14ac:dyDescent="0.2">
      <c r="A122" t="s">
        <v>1098</v>
      </c>
      <c r="B122" s="86" t="s">
        <v>1099</v>
      </c>
      <c r="C122" t="str">
        <f t="shared" si="36"/>
        <v>Balance of QLD1+1</v>
      </c>
      <c r="D122" s="46">
        <f>IF(+DropINTable!AB93=0,DropINTable!AC93,DropINTable!AB93)</f>
        <v>478.82535605766657</v>
      </c>
      <c r="E122" s="46">
        <f>IF(+DropINTable!AC93=0,DropINTable!AD93,DropINTable!AC93)</f>
        <v>478.82535605766657</v>
      </c>
      <c r="F122" s="46">
        <f>IF(+DropINTable!AD93=0,DropINTable!AE93,DropINTable!AD93)</f>
        <v>494.87314521751244</v>
      </c>
      <c r="G122" s="46">
        <f>IF(+DropINTable!AE93=0,DropINTable!AF93,DropINTable!AE93)</f>
        <v>518.42935334026652</v>
      </c>
      <c r="H122" s="46">
        <f>IF(+DropINTable!AF93=0,DropINTable!AG93,DropINTable!AF93)</f>
        <v>561.26179877418269</v>
      </c>
      <c r="I122" s="46">
        <f>IF(+DropINTable!AG93=0,DropINTable!AH93,DropINTable!AG93)</f>
        <v>620.41473356365009</v>
      </c>
      <c r="J122" s="46">
        <f>IF(+DropINTable!AH93=0,DropINTable!AI93,DropINTable!AH93)</f>
        <v>706.32461760268791</v>
      </c>
      <c r="K122" s="46">
        <f>IF(+DropINTable!AI93=0,DropINTable!AJ93,DropINTable!AI93)</f>
        <v>779.24647696634838</v>
      </c>
      <c r="L122" s="46">
        <f>IF(+DropINTable!AJ93=0,DropINTable!AK93,DropINTable!AJ93)</f>
        <v>866.85572678640324</v>
      </c>
      <c r="M122" s="46">
        <f>IF(+DropINTable!AK93=0,DropINTable!AL93,DropINTable!AK93)</f>
        <v>913.23900111324065</v>
      </c>
      <c r="N122" s="46">
        <f>IF(+DropINTable!AL93=0,DropINTable!AM93,DropINTable!AL93)</f>
        <v>967.46499373958579</v>
      </c>
      <c r="O122" s="46">
        <f>IF(+DropINTable!AM93=0,DropINTable!AN93,DropINTable!AM93)</f>
        <v>1096.9641359515601</v>
      </c>
      <c r="P122" s="46">
        <f>IF(+DropINTable!AN93=0,DropINTable!AO93,DropINTable!AN93)</f>
        <v>1250.0406001065278</v>
      </c>
      <c r="Q122" s="46">
        <f>IF(+DropINTable!AO93=0,DropINTable!AP93,DropINTable!AO93)</f>
        <v>1286.5269252505782</v>
      </c>
      <c r="R122" s="46"/>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row>
    <row r="123" spans="1:40" x14ac:dyDescent="0.2">
      <c r="A123" t="s">
        <v>1100</v>
      </c>
      <c r="B123" s="86" t="s">
        <v>1101</v>
      </c>
      <c r="C123" t="str">
        <f t="shared" si="36"/>
        <v>Balance of QLD1+2</v>
      </c>
      <c r="D123" s="46">
        <f>IF(+DropINTable!AB94=0,DropINTable!AC94,DropINTable!AB94)</f>
        <v>596.60864880112558</v>
      </c>
      <c r="E123" s="46">
        <f>IF(+DropINTable!AC94=0,DropINTable!AD94,DropINTable!AC94)</f>
        <v>596.60864880112558</v>
      </c>
      <c r="F123" s="46">
        <f>IF(+DropINTable!AD94=0,DropINTable!AE94,DropINTable!AD94)</f>
        <v>612.66770610546962</v>
      </c>
      <c r="G123" s="46">
        <f>IF(+DropINTable!AE94=0,DropINTable!AF94,DropINTable!AE94)</f>
        <v>636.24044990655887</v>
      </c>
      <c r="H123" s="46">
        <f>IF(+DropINTable!AF94=0,DropINTable!AG94,DropINTable!AF94)</f>
        <v>679.10296161197755</v>
      </c>
      <c r="I123" s="46">
        <f>IF(+DropINTable!AG94=0,DropINTable!AH94,DropINTable!AG94)</f>
        <v>738.29742493316974</v>
      </c>
      <c r="J123" s="46">
        <f>IF(+DropINTable!AH94=0,DropINTable!AI94,DropINTable!AH94)</f>
        <v>824.26761690484466</v>
      </c>
      <c r="K123" s="46">
        <f>IF(+DropINTable!AI94=0,DropINTable!AJ94,DropINTable!AI94)</f>
        <v>897.24066729762774</v>
      </c>
      <c r="L123" s="46">
        <f>IF(+DropINTable!AJ94=0,DropINTable!AK94,DropINTable!AJ94)</f>
        <v>984.91141711883733</v>
      </c>
      <c r="M123" s="46">
        <f>IF(+DropINTable!AK94=0,DropINTable!AL94,DropINTable!AK94)</f>
        <v>1031.3272582951161</v>
      </c>
      <c r="N123" s="46">
        <f>IF(+DropINTable!AL94=0,DropINTable!AM94,DropINTable!AL94)</f>
        <v>1085.5913157538591</v>
      </c>
      <c r="O123" s="46">
        <f>IF(+DropINTable!AM94=0,DropINTable!AN94,DropINTable!AM94)</f>
        <v>1215.1813659650268</v>
      </c>
      <c r="P123" s="46">
        <f>IF(+DropINTable!AN94=0,DropINTable!AO94,DropINTable!AN94)</f>
        <v>1368.3652914999443</v>
      </c>
      <c r="Q123" s="46">
        <f>IF(+DropINTable!AO94=0,DropINTable!AP94,DropINTable!AO94)</f>
        <v>1404.8772334843914</v>
      </c>
      <c r="R123" s="46"/>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row>
    <row r="124" spans="1:40" x14ac:dyDescent="0.2">
      <c r="A124" t="s">
        <v>1102</v>
      </c>
      <c r="B124" s="86" t="s">
        <v>1103</v>
      </c>
      <c r="C124" t="str">
        <f t="shared" si="36"/>
        <v>Balance of QLD1+3</v>
      </c>
      <c r="D124" s="46">
        <f t="shared" ref="D124" si="40">+E124</f>
        <v>730.46226699342674</v>
      </c>
      <c r="E124" s="46">
        <f>IF(+DropINTable!AC95=0,DropINTable!AD95,DropINTable!AC95)</f>
        <v>730.46226699342674</v>
      </c>
      <c r="F124" s="46">
        <f>IF(+DropINTable!AD95=0,DropINTable!AE95,DropINTable!AD95)</f>
        <v>730.46226699342674</v>
      </c>
      <c r="G124" s="46">
        <f>IF(+DropINTable!AE95=0,DropINTable!AF95,DropINTable!AE95)</f>
        <v>754.05154647285121</v>
      </c>
      <c r="H124" s="46">
        <f>IF(+DropINTable!AF95=0,DropINTable!AG95,DropINTable!AF95)</f>
        <v>796.9441244497724</v>
      </c>
      <c r="I124" s="46">
        <f>IF(+DropINTable!AG95=0,DropINTable!AH95,DropINTable!AG95)</f>
        <v>856.18011630268938</v>
      </c>
      <c r="J124" s="46">
        <f>IF(+DropINTable!AH95=0,DropINTable!AI95,DropINTable!AH95)</f>
        <v>942.21061620700141</v>
      </c>
      <c r="K124" s="46">
        <f>IF(+DropINTable!AI95=0,DropINTable!AJ95,DropINTable!AI95)</f>
        <v>1015.2348576289071</v>
      </c>
      <c r="L124" s="46">
        <f>IF(+DropINTable!AJ95=0,DropINTable!AK95,DropINTable!AJ95)</f>
        <v>1102.9671074512714</v>
      </c>
      <c r="M124" s="46">
        <f>IF(+DropINTable!AK95=0,DropINTable!AL95,DropINTable!AK95)</f>
        <v>1149.4155154769915</v>
      </c>
      <c r="N124" s="46">
        <f>IF(+DropINTable!AL95=0,DropINTable!AM95,DropINTable!AL95)</f>
        <v>1203.7176377681326</v>
      </c>
      <c r="O124" s="46">
        <f>IF(+DropINTable!AM95=0,DropINTable!AN95,DropINTable!AM95)</f>
        <v>1333.3985959784934</v>
      </c>
      <c r="P124" s="46">
        <f>IF(+DropINTable!AN95=0,DropINTable!AO95,DropINTable!AN95)</f>
        <v>1486.6899828933608</v>
      </c>
      <c r="Q124" s="46">
        <f>IF(+DropINTable!AO95=0,DropINTable!AP95,DropINTable!AO95)</f>
        <v>1523.2275417182045</v>
      </c>
      <c r="R124" s="46"/>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row>
    <row r="125" spans="1:40" x14ac:dyDescent="0.2">
      <c r="B125" s="86" t="s">
        <v>1104</v>
      </c>
      <c r="C125" t="str">
        <f t="shared" ref="C125:C127" si="41">+CONCATENATE(A$112,B125)</f>
        <v>Balance of QLD1+4</v>
      </c>
      <c r="D125" s="46">
        <f>+D124+Per_child_accounting!AC$68</f>
        <v>829.75574423619696</v>
      </c>
      <c r="E125" s="46">
        <f>+E124+Per_child_accounting!AC$68</f>
        <v>829.75574423619696</v>
      </c>
      <c r="F125" s="46">
        <f>+F124+Per_child_accounting!AD$68</f>
        <v>829.65520825645285</v>
      </c>
      <c r="G125" s="46">
        <f>+G124+Per_child_accounting!AE$68</f>
        <v>853.09691422982928</v>
      </c>
      <c r="H125" s="46">
        <f>+H124+Per_child_accounting!AF$68</f>
        <v>895.72115701755001</v>
      </c>
      <c r="I125" s="46">
        <f>+I124+Per_child_accounting!AG$68</f>
        <v>954.58656906973999</v>
      </c>
      <c r="J125" s="46">
        <f>+J124+Per_child_accounting!AH$68</f>
        <v>1040.0788628223229</v>
      </c>
      <c r="K125" s="46">
        <f>+K124+Per_child_accounting!AI$68</f>
        <v>1112.646267379635</v>
      </c>
      <c r="L125" s="46">
        <f>+L124+Per_child_accounting!AJ$68</f>
        <v>1199.8296658560525</v>
      </c>
      <c r="M125" s="46">
        <f>+M124+Per_child_accounting!AK$68</f>
        <v>1245.9874902940796</v>
      </c>
      <c r="N125" s="46">
        <f>+N124+Per_child_accounting!AL$68</f>
        <v>1299.949902727883</v>
      </c>
      <c r="O125" s="46">
        <f>+O124+Per_child_accounting!AM$68</f>
        <v>1428.8195783905694</v>
      </c>
      <c r="P125" s="46">
        <f>+P124+Per_child_accounting!AN$68</f>
        <v>1581.151979638408</v>
      </c>
      <c r="Q125" s="46">
        <f>+Q124+Per_child_accounting!AO$68</f>
        <v>1617.4609589110219</v>
      </c>
      <c r="R125" s="46"/>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row>
    <row r="126" spans="1:40" x14ac:dyDescent="0.2">
      <c r="B126" s="86" t="s">
        <v>1105</v>
      </c>
      <c r="C126" t="str">
        <f t="shared" si="41"/>
        <v>Balance of QLD1+5</v>
      </c>
      <c r="D126" s="46">
        <f>+D125+Per_child_accounting!AC$68</f>
        <v>929.04922147896718</v>
      </c>
      <c r="E126" s="46">
        <f>+E125+Per_child_accounting!AC$68</f>
        <v>929.04922147896718</v>
      </c>
      <c r="F126" s="46">
        <f>+F125+Per_child_accounting!AD$68</f>
        <v>928.84814951947897</v>
      </c>
      <c r="G126" s="46">
        <f>+G125+Per_child_accounting!AE$68</f>
        <v>952.14228198680735</v>
      </c>
      <c r="H126" s="46">
        <f>+H125+Per_child_accounting!AF$68</f>
        <v>994.49818958532774</v>
      </c>
      <c r="I126" s="46">
        <f>+I125+Per_child_accounting!AG$68</f>
        <v>1052.9930218367906</v>
      </c>
      <c r="J126" s="46">
        <f>+J125+Per_child_accounting!AH$68</f>
        <v>1137.9471094376445</v>
      </c>
      <c r="K126" s="46">
        <f>+K125+Per_child_accounting!AI$68</f>
        <v>1210.0576771303631</v>
      </c>
      <c r="L126" s="46">
        <f>+L125+Per_child_accounting!AJ$68</f>
        <v>1296.6922242608337</v>
      </c>
      <c r="M126" s="46">
        <f>+M125+Per_child_accounting!AK$68</f>
        <v>1342.5594651111678</v>
      </c>
      <c r="N126" s="46">
        <f>+N125+Per_child_accounting!AL$68</f>
        <v>1396.1821676876334</v>
      </c>
      <c r="O126" s="46">
        <f>+O125+Per_child_accounting!AM$68</f>
        <v>1524.2405608026452</v>
      </c>
      <c r="P126" s="46">
        <f>+P125+Per_child_accounting!AN$68</f>
        <v>1675.6139763834551</v>
      </c>
      <c r="Q126" s="46">
        <f>+Q125+Per_child_accounting!AO$68</f>
        <v>1711.6943761038392</v>
      </c>
      <c r="R126" s="46"/>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row>
    <row r="127" spans="1:40" x14ac:dyDescent="0.2">
      <c r="B127" s="86" t="s">
        <v>1106</v>
      </c>
      <c r="C127" t="str">
        <f t="shared" si="41"/>
        <v>Balance of QLD1+6</v>
      </c>
      <c r="D127" s="46">
        <f>+D126+Per_child_accounting!AC$68</f>
        <v>1028.3426987217374</v>
      </c>
      <c r="E127" s="46">
        <f>+E126+Per_child_accounting!AC$68</f>
        <v>1028.3426987217374</v>
      </c>
      <c r="F127" s="46">
        <f>+F126+Per_child_accounting!AD$68</f>
        <v>1028.0410907825051</v>
      </c>
      <c r="G127" s="46">
        <f>+G126+Per_child_accounting!AE$68</f>
        <v>1051.1876497437854</v>
      </c>
      <c r="H127" s="46">
        <f>+H126+Per_child_accounting!AF$68</f>
        <v>1093.2752221531055</v>
      </c>
      <c r="I127" s="46">
        <f>+I126+Per_child_accounting!AG$68</f>
        <v>1151.3994746038411</v>
      </c>
      <c r="J127" s="46">
        <f>+J126+Per_child_accounting!AH$68</f>
        <v>1235.8153560529659</v>
      </c>
      <c r="K127" s="46">
        <f>+K126+Per_child_accounting!AI$68</f>
        <v>1307.4690868810912</v>
      </c>
      <c r="L127" s="46">
        <f>+L126+Per_child_accounting!AJ$68</f>
        <v>1393.5547826656148</v>
      </c>
      <c r="M127" s="46">
        <f>+M126+Per_child_accounting!AK$68</f>
        <v>1439.131439928256</v>
      </c>
      <c r="N127" s="46">
        <f>+N126+Per_child_accounting!AL$68</f>
        <v>1492.4144326473838</v>
      </c>
      <c r="O127" s="46">
        <f>+O126+Per_child_accounting!AM$68</f>
        <v>1619.661543214721</v>
      </c>
      <c r="P127" s="46">
        <f>+P126+Per_child_accounting!AN$68</f>
        <v>1770.0759731285023</v>
      </c>
      <c r="Q127" s="46">
        <f>+Q126+Per_child_accounting!AO$68</f>
        <v>1805.9277932966565</v>
      </c>
      <c r="R127" s="46"/>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row>
    <row r="128" spans="1:40" x14ac:dyDescent="0.2">
      <c r="D128" s="46"/>
      <c r="E128" s="46"/>
      <c r="F128" s="46"/>
      <c r="G128" s="46"/>
      <c r="H128" s="46"/>
      <c r="I128" s="46"/>
      <c r="J128" s="46"/>
      <c r="K128" s="46"/>
      <c r="L128" s="46"/>
      <c r="M128" s="46"/>
      <c r="N128" s="46"/>
      <c r="O128" s="46"/>
      <c r="P128" s="46"/>
      <c r="Q128" s="46"/>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row>
    <row r="129" spans="1:40" ht="28.5" x14ac:dyDescent="0.45">
      <c r="A129" s="368" t="s">
        <v>233</v>
      </c>
      <c r="B129" s="368"/>
      <c r="C129" s="368"/>
      <c r="D129" s="46"/>
      <c r="E129" s="46"/>
      <c r="F129" s="46"/>
      <c r="G129" s="46"/>
      <c r="H129" s="46"/>
      <c r="I129" s="46"/>
      <c r="J129" s="46"/>
      <c r="K129" s="46"/>
      <c r="L129" s="46"/>
      <c r="M129" s="46"/>
      <c r="N129" s="46"/>
      <c r="O129" s="46"/>
      <c r="P129" s="46"/>
      <c r="Q129" s="46"/>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row>
    <row r="130" spans="1:40" x14ac:dyDescent="0.2">
      <c r="A130" t="s">
        <v>1085</v>
      </c>
      <c r="B130" s="86" t="s">
        <v>1086</v>
      </c>
      <c r="C130" t="str">
        <f>+CONCATENATE(A$129,B130)</f>
        <v>Adelaide2+0</v>
      </c>
      <c r="D130" s="46">
        <f>IF(+DropINTable!AB99=0,DropINTable!AC99,DropINTable!AB99)</f>
        <v>644.55408539419193</v>
      </c>
      <c r="E130" s="46">
        <f>IF(+DropINTable!AC99=0,DropINTable!AD99,DropINTable!AC99)</f>
        <v>644.55408539419193</v>
      </c>
      <c r="F130" s="46">
        <f>IF(+DropINTable!AD99=0,DropINTable!AE99,DropINTable!AD99)</f>
        <v>660.85918883575812</v>
      </c>
      <c r="G130" s="46">
        <f>IF(+DropINTable!AE99=0,DropINTable!AF99,DropINTable!AE99)</f>
        <v>684.79310448141393</v>
      </c>
      <c r="H130" s="46">
        <f>IF(+DropINTable!AF99=0,DropINTable!AG99,DropINTable!AF99)</f>
        <v>728.31233739135325</v>
      </c>
      <c r="I130" s="46">
        <f>IF(+DropINTable!AG99=0,DropINTable!AH99,DropINTable!AG99)</f>
        <v>788.41374709983768</v>
      </c>
      <c r="J130" s="46">
        <f>IF(+DropINTable!AH99=0,DropINTable!AI99,DropINTable!AH99)</f>
        <v>875.70113527192029</v>
      </c>
      <c r="K130" s="46">
        <f>IF(+DropINTable!AI99=0,DropINTable!AJ99,DropINTable!AI99)</f>
        <v>949.79224405783657</v>
      </c>
      <c r="L130" s="46">
        <f>IF(+DropINTable!AJ99=0,DropINTable!AK99,DropINTable!AJ99)</f>
        <v>1038.8062453898356</v>
      </c>
      <c r="M130" s="46">
        <f>IF(+DropINTable!AK99=0,DropINTable!AL99,DropINTable!AK99)</f>
        <v>1085.9332449252606</v>
      </c>
      <c r="N130" s="46">
        <f>IF(+DropINTable!AL99=0,DropINTable!AM99,DropINTable!AL99)</f>
        <v>1141.0287095501876</v>
      </c>
      <c r="O130" s="46">
        <f>IF(+DropINTable!AM99=0,DropINTable!AN99,DropINTable!AM99)</f>
        <v>1272.6042783156238</v>
      </c>
      <c r="P130" s="46">
        <f>IF(+DropINTable!AN99=0,DropINTable!AO99,DropINTable!AN99)</f>
        <v>1428.1352116900894</v>
      </c>
      <c r="Q130" s="46">
        <f>IF(+DropINTable!AO99=0,DropINTable!AP99,DropINTable!AO99)</f>
        <v>1465.2065713083739</v>
      </c>
      <c r="R130" s="46"/>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row>
    <row r="131" spans="1:40" x14ac:dyDescent="0.2">
      <c r="A131" t="s">
        <v>1087</v>
      </c>
      <c r="B131" s="86" t="s">
        <v>1088</v>
      </c>
      <c r="C131" t="str">
        <f t="shared" ref="C131:C141" si="42">+CONCATENATE(A$129,B131)</f>
        <v>Adelaide2+1</v>
      </c>
      <c r="D131" s="46">
        <f t="shared" ref="D131:D132" si="43">+E131</f>
        <v>755.50804856055095</v>
      </c>
      <c r="E131" s="46">
        <f>IF(+DropINTable!AC100=0,DropINTable!AD100,DropINTable!AC100)</f>
        <v>755.50804856055095</v>
      </c>
      <c r="F131" s="46">
        <f>IF(+DropINTable!AD100=0,DropINTable!AE100,DropINTable!AD100)</f>
        <v>755.50804856055095</v>
      </c>
      <c r="G131" s="46">
        <f>IF(+DropINTable!AE100=0,DropINTable!AF100,DropINTable!AE100)</f>
        <v>779.41924943485833</v>
      </c>
      <c r="H131" s="46">
        <f>IF(+DropINTable!AF100=0,DropINTable!AG100,DropINTable!AF100)</f>
        <v>822.89718527695629</v>
      </c>
      <c r="I131" s="46">
        <f>IF(+DropINTable!AG100=0,DropINTable!AH100,DropINTable!AG100)</f>
        <v>882.94156449624461</v>
      </c>
      <c r="J131" s="46">
        <f>IF(+DropINTable!AH100=0,DropINTable!AI100,DropINTable!AH100)</f>
        <v>970.1461219872848</v>
      </c>
      <c r="K131" s="46">
        <f>IF(+DropINTable!AI100=0,DropINTable!AJ100,DropINTable!AI100)</f>
        <v>1044.1669226387096</v>
      </c>
      <c r="L131" s="46">
        <f>IF(+DropINTable!AJ100=0,DropINTable!AK100,DropINTable!AJ100)</f>
        <v>1133.096451817511</v>
      </c>
      <c r="M131" s="46">
        <f>IF(+DropINTable!AK100=0,DropINTable!AL100,DropINTable!AK100)</f>
        <v>1180.1787347371403</v>
      </c>
      <c r="N131" s="46">
        <f>IF(+DropINTable!AL100=0,DropINTable!AM100,DropINTable!AL100)</f>
        <v>1235.2219133695598</v>
      </c>
      <c r="O131" s="46">
        <f>IF(+DropINTable!AM100=0,DropINTable!AN100,DropINTable!AM100)</f>
        <v>1366.6726281543872</v>
      </c>
      <c r="P131" s="46">
        <f>IF(+DropINTable!AN100=0,DropINTable!AO100,DropINTable!AN100)</f>
        <v>1522.0559715120983</v>
      </c>
      <c r="Q131" s="46">
        <f>IF(+DropINTable!AO100=0,DropINTable!AP100,DropINTable!AO100)</f>
        <v>1559.0921483413945</v>
      </c>
      <c r="R131" s="46"/>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row>
    <row r="132" spans="1:40" x14ac:dyDescent="0.2">
      <c r="A132" t="s">
        <v>1089</v>
      </c>
      <c r="B132" s="86" t="s">
        <v>1090</v>
      </c>
      <c r="C132" t="str">
        <f t="shared" si="42"/>
        <v>Adelaide2+2</v>
      </c>
      <c r="D132" s="46">
        <f t="shared" si="43"/>
        <v>833.89396454367079</v>
      </c>
      <c r="E132" s="46">
        <f>IF(+DropINTable!AC101=0,DropINTable!AD101,DropINTable!AC101)</f>
        <v>833.89396454367079</v>
      </c>
      <c r="F132" s="46">
        <f>IF(+DropINTable!AD101=0,DropINTable!AE101,DropINTable!AD101)</f>
        <v>833.89396454367079</v>
      </c>
      <c r="G132" s="46">
        <f>IF(+DropINTable!AE101=0,DropINTable!AF101,DropINTable!AE101)</f>
        <v>857.89833628448014</v>
      </c>
      <c r="H132" s="46">
        <f>IF(+DropINTable!AF101=0,DropINTable!AG101,DropINTable!AF101)</f>
        <v>901.5456789473626</v>
      </c>
      <c r="I132" s="46">
        <f>IF(+DropINTable!AG101=0,DropINTable!AH101,DropINTable!AG101)</f>
        <v>961.82401001784103</v>
      </c>
      <c r="J132" s="46">
        <f>IF(+DropINTable!AH101=0,DropINTable!AI101,DropINTable!AH101)</f>
        <v>1049.3683509761179</v>
      </c>
      <c r="K132" s="46">
        <f>IF(+DropINTable!AI101=0,DropINTable!AJ101,DropINTable!AI101)</f>
        <v>1123.6775649389795</v>
      </c>
      <c r="L132" s="46">
        <f>IF(+DropINTable!AJ101=0,DropINTable!AK101,DropINTable!AJ101)</f>
        <v>1212.9536019315599</v>
      </c>
      <c r="M132" s="46">
        <f>IF(+DropINTable!AK101=0,DropINTable!AL101,DropINTable!AK101)</f>
        <v>1260.2193292879256</v>
      </c>
      <c r="N132" s="46">
        <f>IF(+DropINTable!AL101=0,DropINTable!AM101,DropINTable!AL101)</f>
        <v>1315.4769808744352</v>
      </c>
      <c r="O132" s="46">
        <f>IF(+DropINTable!AM101=0,DropINTable!AN101,DropINTable!AM101)</f>
        <v>1447.4398745093847</v>
      </c>
      <c r="P132" s="46">
        <f>IF(+DropINTable!AN101=0,DropINTable!AO101,DropINTable!AN101)</f>
        <v>1603.4286515917997</v>
      </c>
      <c r="Q132" s="46">
        <f>IF(+DropINTable!AO101=0,DropINTable!AP101,DropINTable!AO101)</f>
        <v>1640.6091401732067</v>
      </c>
      <c r="R132" s="46"/>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row>
    <row r="133" spans="1:40" x14ac:dyDescent="0.2">
      <c r="A133" t="s">
        <v>1091</v>
      </c>
      <c r="B133" s="86" t="s">
        <v>1092</v>
      </c>
      <c r="C133" t="str">
        <f t="shared" si="42"/>
        <v>Adelaide2+3</v>
      </c>
      <c r="D133" s="46">
        <f t="shared" ref="D133" si="44">+F133</f>
        <v>927.04369664094725</v>
      </c>
      <c r="E133" s="46">
        <f>+F133</f>
        <v>927.04369664094725</v>
      </c>
      <c r="F133" s="46">
        <f>IF(+DropINTable!AD102=0,DropINTable!AE102,DropINTable!AD102)</f>
        <v>927.04369664094725</v>
      </c>
      <c r="G133" s="46">
        <f>IF(+DropINTable!AE102=0,DropINTable!AF102,DropINTable!AE102)</f>
        <v>927.04369664094725</v>
      </c>
      <c r="H133" s="46">
        <f>IF(+DropINTable!AF102=0,DropINTable!AG102,DropINTable!AF102)</f>
        <v>970.8395124835148</v>
      </c>
      <c r="I133" s="46">
        <f>IF(+DropINTable!AG102=0,DropINTable!AH102,DropINTable!AG102)</f>
        <v>1031.3228894357765</v>
      </c>
      <c r="J133" s="46">
        <f>IF(+DropINTable!AH102=0,DropINTable!AI102,DropINTable!AH102)</f>
        <v>1119.1650236961736</v>
      </c>
      <c r="K133" s="46">
        <f>IF(+DropINTable!AI102=0,DropINTable!AJ102,DropINTable!AI102)</f>
        <v>1193.7270105384093</v>
      </c>
      <c r="L133" s="46">
        <f>IF(+DropINTable!AJ102=0,DropINTable!AK102,DropINTable!AJ102)</f>
        <v>1283.3067310553438</v>
      </c>
      <c r="M133" s="46">
        <f>IF(+DropINTable!AK102=0,DropINTable!AL102,DropINTable!AK102)</f>
        <v>1330.7332395270416</v>
      </c>
      <c r="N133" s="46">
        <f>IF(+DropINTable!AL102=0,DropINTable!AM102,DropINTable!AL102)</f>
        <v>1386.1788598378544</v>
      </c>
      <c r="O133" s="46">
        <f>IF(+DropINTable!AM102=0,DropINTable!AN102,DropINTable!AM102)</f>
        <v>1518.590643520316</v>
      </c>
      <c r="P133" s="46">
        <f>IF(+DropINTable!AN102=0,DropINTable!AO102,DropINTable!AN102)</f>
        <v>1675.1100368524912</v>
      </c>
      <c r="Q133" s="46">
        <f>IF(+DropINTable!AO102=0,DropINTable!AP102,DropINTable!AO102)</f>
        <v>1712.4170009877607</v>
      </c>
      <c r="R133" s="46"/>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row>
    <row r="134" spans="1:40" x14ac:dyDescent="0.2">
      <c r="B134" s="86" t="s">
        <v>1093</v>
      </c>
      <c r="C134" t="str">
        <f t="shared" ref="C134:C136" si="45">+CONCATENATE(A$129,B134)</f>
        <v>Adelaide2+4</v>
      </c>
      <c r="D134" s="46">
        <f>+D133+Per_child_accounting!$AD$73</f>
        <v>1021.6925563657401</v>
      </c>
      <c r="E134" s="46">
        <f>+E133+Per_child_accounting!$AD$73</f>
        <v>1021.6925563657401</v>
      </c>
      <c r="F134" s="46">
        <f>+F133+Per_child_accounting!AD$73</f>
        <v>1021.6925563657401</v>
      </c>
      <c r="G134" s="46">
        <f>+G133+Per_child_accounting!AE$73</f>
        <v>1021.6698415943916</v>
      </c>
      <c r="H134" s="46">
        <f>+H133+Per_child_accounting!AF$73</f>
        <v>1065.4243603691179</v>
      </c>
      <c r="I134" s="46">
        <f>+I133+Per_child_accounting!AG$73</f>
        <v>1125.8507068321833</v>
      </c>
      <c r="J134" s="46">
        <f>+J133+Per_child_accounting!AH$73</f>
        <v>1213.610010411538</v>
      </c>
      <c r="K134" s="46">
        <f>+K133+Per_child_accounting!AI$73</f>
        <v>1288.1016891192824</v>
      </c>
      <c r="L134" s="46">
        <f>+L133+Per_child_accounting!AJ$73</f>
        <v>1377.5969374830192</v>
      </c>
      <c r="M134" s="46">
        <f>+M133+Per_child_accounting!AK$73</f>
        <v>1424.9787293389213</v>
      </c>
      <c r="N134" s="46">
        <f>+N133+Per_child_accounting!AL$73</f>
        <v>1480.3720636572266</v>
      </c>
      <c r="O134" s="46">
        <f>+O133+Per_child_accounting!AM$73</f>
        <v>1612.6589933590794</v>
      </c>
      <c r="P134" s="46">
        <f>+P133+Per_child_accounting!AN$73</f>
        <v>1769.0307966745002</v>
      </c>
      <c r="Q134" s="46">
        <f>+Q133+Per_child_accounting!AO$73</f>
        <v>1806.3025780207813</v>
      </c>
      <c r="R134" s="46"/>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row>
    <row r="135" spans="1:40" x14ac:dyDescent="0.2">
      <c r="B135" s="86" t="s">
        <v>1094</v>
      </c>
      <c r="C135" t="str">
        <f t="shared" si="45"/>
        <v>Adelaide2+5</v>
      </c>
      <c r="D135" s="46">
        <f>+D134+Per_child_accounting!$AD$73</f>
        <v>1116.3414160905329</v>
      </c>
      <c r="E135" s="46">
        <f>+E134+Per_child_accounting!$AD$73</f>
        <v>1116.3414160905329</v>
      </c>
      <c r="F135" s="46">
        <f>+F134+Per_child_accounting!$AD$73</f>
        <v>1116.3414160905329</v>
      </c>
      <c r="G135" s="46">
        <f>+G134+Per_child_accounting!AE$73</f>
        <v>1116.295986547836</v>
      </c>
      <c r="H135" s="46">
        <f>+H134+Per_child_accounting!AF$73</f>
        <v>1160.009208254721</v>
      </c>
      <c r="I135" s="46">
        <f>+I134+Per_child_accounting!AG$73</f>
        <v>1220.3785242285903</v>
      </c>
      <c r="J135" s="46">
        <f>+J134+Per_child_accounting!AH$73</f>
        <v>1308.0549971269024</v>
      </c>
      <c r="K135" s="46">
        <f>+K134+Per_child_accounting!AI$73</f>
        <v>1382.4763677001554</v>
      </c>
      <c r="L135" s="46">
        <f>+L134+Per_child_accounting!AJ$73</f>
        <v>1471.8871439106947</v>
      </c>
      <c r="M135" s="46">
        <f>+M134+Per_child_accounting!AK$73</f>
        <v>1519.224219150801</v>
      </c>
      <c r="N135" s="46">
        <f>+N134+Per_child_accounting!AL$73</f>
        <v>1574.5652674765988</v>
      </c>
      <c r="O135" s="46">
        <f>+O134+Per_child_accounting!AM$73</f>
        <v>1706.7273431978429</v>
      </c>
      <c r="P135" s="46">
        <f>+P134+Per_child_accounting!AN$73</f>
        <v>1862.9515564965091</v>
      </c>
      <c r="Q135" s="46">
        <f>+Q134+Per_child_accounting!AO$73</f>
        <v>1900.1881550538019</v>
      </c>
      <c r="R135" s="46"/>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row>
    <row r="136" spans="1:40" x14ac:dyDescent="0.2">
      <c r="B136" s="86" t="s">
        <v>1095</v>
      </c>
      <c r="C136" t="str">
        <f t="shared" si="45"/>
        <v>Adelaide2+6</v>
      </c>
      <c r="D136" s="46">
        <f>+D135+Per_child_accounting!$AD$73</f>
        <v>1210.9902758153257</v>
      </c>
      <c r="E136" s="46">
        <f>+E135+Per_child_accounting!$AD$73</f>
        <v>1210.9902758153257</v>
      </c>
      <c r="F136" s="46">
        <f>+F135+Per_child_accounting!$AD$73</f>
        <v>1210.9902758153257</v>
      </c>
      <c r="G136" s="46">
        <f>+G135+Per_child_accounting!AE$73</f>
        <v>1210.9221315012805</v>
      </c>
      <c r="H136" s="46">
        <f>+H135+Per_child_accounting!AF$73</f>
        <v>1254.594056140324</v>
      </c>
      <c r="I136" s="46">
        <f>+I135+Per_child_accounting!AG$73</f>
        <v>1314.9063416249974</v>
      </c>
      <c r="J136" s="46">
        <f>+J135+Per_child_accounting!AH$73</f>
        <v>1402.4999838422668</v>
      </c>
      <c r="K136" s="46">
        <f>+K135+Per_child_accounting!AI$73</f>
        <v>1476.8510462810284</v>
      </c>
      <c r="L136" s="46">
        <f>+L135+Per_child_accounting!AJ$73</f>
        <v>1566.1773503383702</v>
      </c>
      <c r="M136" s="46">
        <f>+M135+Per_child_accounting!AK$73</f>
        <v>1613.4697089626807</v>
      </c>
      <c r="N136" s="46">
        <f>+N135+Per_child_accounting!AL$73</f>
        <v>1668.758471295971</v>
      </c>
      <c r="O136" s="46">
        <f>+O135+Per_child_accounting!AM$73</f>
        <v>1800.7956930366063</v>
      </c>
      <c r="P136" s="46">
        <f>+P135+Per_child_accounting!AN$73</f>
        <v>1956.872316318518</v>
      </c>
      <c r="Q136" s="46">
        <f>+Q135+Per_child_accounting!AO$73</f>
        <v>1994.0737320868225</v>
      </c>
      <c r="R136" s="46"/>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row>
    <row r="137" spans="1:40" x14ac:dyDescent="0.2">
      <c r="B137" s="86"/>
      <c r="D137" s="46"/>
      <c r="E137" s="46"/>
      <c r="F137" s="46"/>
      <c r="G137" s="46"/>
      <c r="H137" s="46"/>
      <c r="I137" s="46"/>
      <c r="J137" s="46"/>
      <c r="K137" s="46"/>
      <c r="L137" s="46"/>
      <c r="M137" s="46"/>
      <c r="N137" s="46"/>
      <c r="O137" s="46"/>
      <c r="P137" s="46"/>
      <c r="Q137" s="46"/>
      <c r="R137" s="46"/>
      <c r="S137" s="113"/>
      <c r="T137" s="113"/>
      <c r="U137" s="113"/>
      <c r="V137" s="113"/>
      <c r="W137" s="113"/>
      <c r="X137" s="113"/>
      <c r="Y137" s="113"/>
      <c r="Z137" s="113"/>
      <c r="AA137" s="113"/>
      <c r="AB137" s="113"/>
      <c r="AC137" s="113"/>
      <c r="AD137" s="113"/>
      <c r="AE137" s="113"/>
      <c r="AF137" s="113"/>
      <c r="AG137" s="113"/>
      <c r="AH137" s="113"/>
      <c r="AI137" s="113"/>
      <c r="AJ137" s="113"/>
      <c r="AK137" s="113"/>
      <c r="AL137" s="113"/>
      <c r="AM137" s="113"/>
      <c r="AN137" s="113"/>
    </row>
    <row r="138" spans="1:40" x14ac:dyDescent="0.2">
      <c r="A138" t="s">
        <v>1096</v>
      </c>
      <c r="B138" s="86" t="s">
        <v>1097</v>
      </c>
      <c r="C138" t="str">
        <f t="shared" si="42"/>
        <v>Adelaide1+0</v>
      </c>
      <c r="D138" s="46">
        <f>IF(+DropINTable!AB104=0,DropINTable!AC104,DropINTable!AB104)</f>
        <v>340.71139897374519</v>
      </c>
      <c r="E138" s="46">
        <f>IF(+DropINTable!AC104=0,DropINTable!AD104,DropINTable!AC104)</f>
        <v>357.85265373618205</v>
      </c>
      <c r="F138" s="46">
        <f>IF(+DropINTable!AD104=0,DropINTable!AE104,DropINTable!AD104)</f>
        <v>374.00097903106825</v>
      </c>
      <c r="G138" s="46">
        <f>IF(+DropINTable!AE104=0,DropINTable!AF104,DropINTable!AE104)</f>
        <v>397.70476160362881</v>
      </c>
      <c r="H138" s="46">
        <f>IF(+DropINTable!AF104=0,DropINTable!AG104,DropINTable!AF104)</f>
        <v>440.80554199085782</v>
      </c>
      <c r="I138" s="46">
        <f>IF(+DropINTable!AG104=0,DropINTable!AH104,DropINTable!AG104)</f>
        <v>500.32905599758499</v>
      </c>
      <c r="J138" s="46">
        <f>IF(+DropINTable!AH104=0,DropINTable!AI104,DropINTable!AH104)</f>
        <v>586.77714594996382</v>
      </c>
      <c r="K138" s="46">
        <f>IF(+DropINTable!AI104=0,DropINTable!AJ104,DropINTable!AI104)</f>
        <v>660.15584357853959</v>
      </c>
      <c r="L138" s="46">
        <f>IF(+DropINTable!AJ104=0,DropINTable!AK104,DropINTable!AJ104)</f>
        <v>748.31394342423778</v>
      </c>
      <c r="M138" s="46">
        <f>IF(+DropINTable!AK104=0,DropINTable!AL104,DropINTable!AK104)</f>
        <v>794.98780172552381</v>
      </c>
      <c r="N138" s="46">
        <f>IF(+DropINTable!AL104=0,DropINTable!AM104,DropINTable!AL104)</f>
        <v>849.55350456928954</v>
      </c>
      <c r="O138" s="46">
        <f>IF(+DropINTable!AM104=0,DropINTable!AN104,DropINTable!AM104)</f>
        <v>979.86392926892472</v>
      </c>
      <c r="P138" s="46">
        <f>IF(+DropINTable!AN104=0,DropINTable!AO104,DropINTable!AN104)</f>
        <v>1133.8993790842528</v>
      </c>
      <c r="Q138" s="46">
        <f>IF(+DropINTable!AO104=0,DropINTable!AP104,DropINTable!AO104)</f>
        <v>1170.6142847140807</v>
      </c>
      <c r="R138" s="46"/>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row>
    <row r="139" spans="1:40" x14ac:dyDescent="0.2">
      <c r="A139" t="s">
        <v>1098</v>
      </c>
      <c r="B139" s="86" t="s">
        <v>1099</v>
      </c>
      <c r="C139" t="str">
        <f t="shared" si="42"/>
        <v>Adelaide1+1</v>
      </c>
      <c r="D139" s="46">
        <f>IF(+DropINTable!AB105=0,DropINTable!AC105,DropINTable!AB105)</f>
        <v>457.28110046831677</v>
      </c>
      <c r="E139" s="46">
        <f>IF(+DropINTable!AC105=0,DropINTable!AD105,DropINTable!AC105)</f>
        <v>457.28110046831677</v>
      </c>
      <c r="F139" s="46">
        <f>IF(+DropINTable!AD105=0,DropINTable!AE105,DropINTable!AD105)</f>
        <v>473.32889011953279</v>
      </c>
      <c r="G139" s="46">
        <f>IF(+DropINTable!AE105=0,DropINTable!AF105,DropINTable!AE105)</f>
        <v>496.88509869434756</v>
      </c>
      <c r="H139" s="46">
        <f>IF(+DropINTable!AF105=0,DropINTable!AG105,DropINTable!AF105)</f>
        <v>539.71754373516751</v>
      </c>
      <c r="I139" s="46">
        <f>IF(+DropINTable!AG105=0,DropINTable!AH105,DropINTable!AG105)</f>
        <v>598.87047911427908</v>
      </c>
      <c r="J139" s="46">
        <f>IF(+DropINTable!AH105=0,DropINTable!AI105,DropINTable!AH105)</f>
        <v>684.78036252436311</v>
      </c>
      <c r="K139" s="46">
        <f>IF(+DropINTable!AI105=0,DropINTable!AJ105,DropINTable!AI105)</f>
        <v>757.70222184871409</v>
      </c>
      <c r="L139" s="46">
        <f>IF(+DropINTable!AJ105=0,DropINTable!AK105,DropINTable!AJ105)</f>
        <v>845.31147072533815</v>
      </c>
      <c r="M139" s="46">
        <f>IF(+DropINTable!AK105=0,DropINTable!AL105,DropINTable!AK105)</f>
        <v>891.69475110585552</v>
      </c>
      <c r="N139" s="46">
        <f>IF(+DropINTable!AL105=0,DropINTable!AM105,DropINTable!AL105)</f>
        <v>945.92073634199403</v>
      </c>
      <c r="O139" s="46">
        <f>IF(+DropINTable!AM105=0,DropINTable!AN105,DropINTable!AM105)</f>
        <v>1075.4198837428369</v>
      </c>
      <c r="P139" s="46">
        <f>IF(+DropINTable!AN105=0,DropINTable!AO105,DropINTable!AN105)</f>
        <v>1228.4963459323239</v>
      </c>
      <c r="Q139" s="46">
        <f>IF(+DropINTable!AO105=0,DropINTable!AP105,DropINTable!AO105)</f>
        <v>1264.9826707618975</v>
      </c>
      <c r="R139" s="46"/>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row>
    <row r="140" spans="1:40" x14ac:dyDescent="0.2">
      <c r="A140" t="s">
        <v>1100</v>
      </c>
      <c r="B140" s="86" t="s">
        <v>1101</v>
      </c>
      <c r="C140" t="str">
        <f t="shared" si="42"/>
        <v>Adelaide1+2</v>
      </c>
      <c r="D140" s="46">
        <f>IF(+DropINTable!AB106=0,DropINTable!AC106,DropINTable!AB106)</f>
        <v>575.04926995352946</v>
      </c>
      <c r="E140" s="46">
        <f>IF(+DropINTable!AC106=0,DropINTable!AD106,DropINTable!AC106)</f>
        <v>575.04926995352946</v>
      </c>
      <c r="F140" s="46">
        <f>IF(+DropINTable!AD106=0,DropINTable!AE106,DropINTable!AD106)</f>
        <v>591.10832336976739</v>
      </c>
      <c r="G140" s="46">
        <f>IF(+DropINTable!AE106=0,DropINTable!AF106,DropINTable!AE106)</f>
        <v>614.68107155988434</v>
      </c>
      <c r="H140" s="46">
        <f>IF(+DropINTable!AF106=0,DropINTable!AG106,DropINTable!AF106)</f>
        <v>657.54358469650776</v>
      </c>
      <c r="I140" s="46">
        <f>IF(+DropINTable!AG106=0,DropINTable!AH106,DropINTable!AG106)</f>
        <v>716.7380444873952</v>
      </c>
      <c r="J140" s="46">
        <f>IF(+DropINTable!AH106=0,DropINTable!AI106,DropINTable!AH106)</f>
        <v>802.70823746091344</v>
      </c>
      <c r="K140" s="46">
        <f>IF(+DropINTable!AI106=0,DropINTable!AJ106,DropINTable!AI106)</f>
        <v>875.68128732892126</v>
      </c>
      <c r="L140" s="46">
        <f>IF(+DropINTable!AJ106=0,DropINTable!AK106,DropINTable!AJ106)</f>
        <v>963.35204249329502</v>
      </c>
      <c r="M140" s="46">
        <f>IF(+DropINTable!AK106=0,DropINTable!AL106,DropINTable!AK106)</f>
        <v>1009.7678786126507</v>
      </c>
      <c r="N140" s="46">
        <f>IF(+DropINTable!AL106=0,DropINTable!AM106,DropINTable!AL106)</f>
        <v>1064.03193807508</v>
      </c>
      <c r="O140" s="46">
        <f>IF(+DropINTable!AM106=0,DropINTable!AN106,DropINTable!AM106)</f>
        <v>1193.6219873321115</v>
      </c>
      <c r="P140" s="46">
        <f>IF(+DropINTable!AN106=0,DropINTable!AO106,DropINTable!AN106)</f>
        <v>1346.8059119128927</v>
      </c>
      <c r="Q140" s="46">
        <f>IF(+DropINTable!AO106=0,DropINTable!AP106,DropINTable!AO106)</f>
        <v>1383.3178523707213</v>
      </c>
      <c r="R140" s="46"/>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row>
    <row r="141" spans="1:40" x14ac:dyDescent="0.2">
      <c r="A141" t="s">
        <v>1102</v>
      </c>
      <c r="B141" s="86" t="s">
        <v>1103</v>
      </c>
      <c r="C141" t="str">
        <f t="shared" si="42"/>
        <v>Adelaide1+3</v>
      </c>
      <c r="D141" s="46">
        <f t="shared" ref="D141" si="46">+E141</f>
        <v>708.88775662000194</v>
      </c>
      <c r="E141" s="46">
        <f>IF(+DropINTable!AC107=0,DropINTable!AD107,DropINTable!AC107)</f>
        <v>708.88775662000194</v>
      </c>
      <c r="F141" s="46">
        <f>IF(+DropINTable!AD107=0,DropINTable!AE107,DropINTable!AD107)</f>
        <v>708.88775662000194</v>
      </c>
      <c r="G141" s="46">
        <f>IF(+DropINTable!AE107=0,DropINTable!AF107,DropINTable!AE107)</f>
        <v>732.47704442542113</v>
      </c>
      <c r="H141" s="46">
        <f>IF(+DropINTable!AF107=0,DropINTable!AG107,DropINTable!AF107)</f>
        <v>775.36962565784802</v>
      </c>
      <c r="I141" s="46">
        <f>IF(+DropINTable!AG107=0,DropINTable!AH107,DropINTable!AG107)</f>
        <v>834.60560986051132</v>
      </c>
      <c r="J141" s="46">
        <f>IF(+DropINTable!AH107=0,DropINTable!AI107,DropINTable!AH107)</f>
        <v>920.63611239746376</v>
      </c>
      <c r="K141" s="46">
        <f>IF(+DropINTable!AI107=0,DropINTable!AJ107,DropINTable!AI107)</f>
        <v>993.66035280912843</v>
      </c>
      <c r="L141" s="46">
        <f>IF(+DropINTable!AJ107=0,DropINTable!AK107,DropINTable!AJ107)</f>
        <v>1081.3926142612518</v>
      </c>
      <c r="M141" s="46">
        <f>IF(+DropINTable!AK107=0,DropINTable!AL107,DropINTable!AK107)</f>
        <v>1127.8410061194459</v>
      </c>
      <c r="N141" s="46">
        <f>IF(+DropINTable!AL107=0,DropINTable!AM107,DropINTable!AL107)</f>
        <v>1182.1431398081659</v>
      </c>
      <c r="O141" s="46">
        <f>IF(+DropINTable!AM107=0,DropINTable!AN107,DropINTable!AM107)</f>
        <v>1311.8240909213862</v>
      </c>
      <c r="P141" s="46">
        <f>IF(+DropINTable!AN107=0,DropINTable!AO107,DropINTable!AN107)</f>
        <v>1465.1154778934615</v>
      </c>
      <c r="Q141" s="46">
        <f>IF(+DropINTable!AO107=0,DropINTable!AP107,DropINTable!AO107)</f>
        <v>1501.6530339795452</v>
      </c>
      <c r="R141" s="46"/>
      <c r="S141" s="113"/>
      <c r="T141" s="113"/>
      <c r="U141" s="113"/>
      <c r="V141" s="113"/>
      <c r="W141" s="113"/>
      <c r="X141" s="113"/>
      <c r="Y141" s="113"/>
      <c r="Z141" s="113"/>
      <c r="AA141" s="113"/>
      <c r="AB141" s="113"/>
      <c r="AC141" s="113"/>
      <c r="AD141" s="113"/>
      <c r="AE141" s="113"/>
      <c r="AF141" s="113"/>
      <c r="AG141" s="113"/>
      <c r="AH141" s="113"/>
      <c r="AI141" s="113"/>
      <c r="AJ141" s="113"/>
      <c r="AK141" s="113"/>
      <c r="AL141" s="113"/>
      <c r="AM141" s="113"/>
      <c r="AN141" s="113"/>
    </row>
    <row r="142" spans="1:40" x14ac:dyDescent="0.2">
      <c r="B142" s="86" t="s">
        <v>1104</v>
      </c>
      <c r="C142" t="str">
        <f t="shared" ref="C142:C143" si="47">+CONCATENATE(A$129,B142)</f>
        <v>Adelaide1+4</v>
      </c>
      <c r="D142" s="46">
        <f>+D141+Per_child_accounting!AC$76</f>
        <v>808.31620335213665</v>
      </c>
      <c r="E142" s="46">
        <f>+E141+Per_child_accounting!AC$76</f>
        <v>808.31620335213665</v>
      </c>
      <c r="F142" s="46">
        <f>+F141+Per_child_accounting!AD$76</f>
        <v>808.21566770846653</v>
      </c>
      <c r="G142" s="46">
        <f>+G141+Per_child_accounting!AE$76</f>
        <v>831.65738151613982</v>
      </c>
      <c r="H142" s="46">
        <f>+H141+Per_child_accounting!AF$76</f>
        <v>874.28162740215771</v>
      </c>
      <c r="I142" s="46">
        <f>+I141+Per_child_accounting!AG$76</f>
        <v>933.14703297720541</v>
      </c>
      <c r="J142" s="46">
        <f>+J141+Per_child_accounting!AH$76</f>
        <v>1018.6393289718631</v>
      </c>
      <c r="K142" s="46">
        <f>+K141+Per_child_accounting!AI$76</f>
        <v>1091.2067310793029</v>
      </c>
      <c r="L142" s="46">
        <f>+L141+Per_child_accounting!AJ$76</f>
        <v>1178.3901415623523</v>
      </c>
      <c r="M142" s="46">
        <f>+M141+Per_child_accounting!AK$76</f>
        <v>1224.5479554997776</v>
      </c>
      <c r="N142" s="46">
        <f>+N141+Per_child_accounting!AL$76</f>
        <v>1278.5103715808705</v>
      </c>
      <c r="O142" s="46">
        <f>+O141+Per_child_accounting!AM$76</f>
        <v>1407.3800453952983</v>
      </c>
      <c r="P142" s="46">
        <f>+P141+Per_child_accounting!AN$76</f>
        <v>1559.7124447415326</v>
      </c>
      <c r="Q142" s="46">
        <f>+Q141+Per_child_accounting!AO$76</f>
        <v>1596.021420027362</v>
      </c>
      <c r="R142" s="46"/>
      <c r="S142" s="113"/>
      <c r="T142" s="113"/>
      <c r="U142" s="113"/>
      <c r="V142" s="113"/>
      <c r="W142" s="113"/>
      <c r="X142" s="113"/>
      <c r="Y142" s="113"/>
      <c r="Z142" s="113"/>
      <c r="AA142" s="113"/>
      <c r="AB142" s="113"/>
      <c r="AC142" s="113"/>
      <c r="AD142" s="113"/>
      <c r="AE142" s="113"/>
      <c r="AF142" s="113"/>
      <c r="AG142" s="113"/>
      <c r="AH142" s="113"/>
      <c r="AI142" s="113"/>
      <c r="AJ142" s="113"/>
      <c r="AK142" s="113"/>
      <c r="AL142" s="113"/>
      <c r="AM142" s="113"/>
      <c r="AN142" s="113"/>
    </row>
    <row r="143" spans="1:40" x14ac:dyDescent="0.2">
      <c r="B143" s="86" t="s">
        <v>1105</v>
      </c>
      <c r="C143" t="str">
        <f t="shared" si="47"/>
        <v>Adelaide1+5</v>
      </c>
      <c r="D143" s="46">
        <f>+D142+Per_child_accounting!AC$76</f>
        <v>907.74465008427137</v>
      </c>
      <c r="E143" s="46">
        <f>+E142+Per_child_accounting!AC$76</f>
        <v>907.74465008427137</v>
      </c>
      <c r="F143" s="46">
        <f>+F142+Per_child_accounting!AD$76</f>
        <v>907.54357879693111</v>
      </c>
      <c r="G143" s="46">
        <f>+G142+Per_child_accounting!AE$76</f>
        <v>930.83771860685852</v>
      </c>
      <c r="H143" s="46">
        <f>+H142+Per_child_accounting!AF$76</f>
        <v>973.1936291464674</v>
      </c>
      <c r="I143" s="46">
        <f>+I142+Per_child_accounting!AG$76</f>
        <v>1031.6884560938995</v>
      </c>
      <c r="J143" s="46">
        <f>+J142+Per_child_accounting!AH$76</f>
        <v>1116.6425455462622</v>
      </c>
      <c r="K143" s="46">
        <f>+K142+Per_child_accounting!AI$76</f>
        <v>1188.7531093494774</v>
      </c>
      <c r="L143" s="46">
        <f>+L142+Per_child_accounting!AJ$76</f>
        <v>1275.3876688634527</v>
      </c>
      <c r="M143" s="46">
        <f>+M142+Per_child_accounting!AK$76</f>
        <v>1321.2549048801093</v>
      </c>
      <c r="N143" s="46">
        <f>+N142+Per_child_accounting!AL$76</f>
        <v>1374.8776033535751</v>
      </c>
      <c r="O143" s="46">
        <f>+O142+Per_child_accounting!AM$76</f>
        <v>1502.9359998692105</v>
      </c>
      <c r="P143" s="46">
        <f>+P142+Per_child_accounting!AN$76</f>
        <v>1654.3094115896038</v>
      </c>
      <c r="Q143" s="46">
        <f>+Q142+Per_child_accounting!AO$76</f>
        <v>1690.3898060751787</v>
      </c>
      <c r="R143" s="46"/>
      <c r="S143" s="113"/>
      <c r="T143" s="113"/>
      <c r="U143" s="113"/>
      <c r="V143" s="113"/>
      <c r="W143" s="113"/>
      <c r="X143" s="113"/>
      <c r="Y143" s="113"/>
      <c r="Z143" s="113"/>
      <c r="AA143" s="113"/>
      <c r="AB143" s="113"/>
      <c r="AC143" s="113"/>
      <c r="AD143" s="113"/>
      <c r="AE143" s="113"/>
      <c r="AF143" s="113"/>
      <c r="AG143" s="113"/>
      <c r="AH143" s="113"/>
      <c r="AI143" s="113"/>
      <c r="AJ143" s="113"/>
      <c r="AK143" s="113"/>
      <c r="AL143" s="113"/>
      <c r="AM143" s="113"/>
      <c r="AN143" s="113"/>
    </row>
    <row r="144" spans="1:40" x14ac:dyDescent="0.2">
      <c r="B144" s="86" t="s">
        <v>1106</v>
      </c>
      <c r="C144" t="str">
        <f t="shared" ref="C144" si="48">+CONCATENATE(A$129,B144)</f>
        <v>Adelaide1+6</v>
      </c>
      <c r="D144" s="46">
        <f>+D143+Per_child_accounting!AC$76</f>
        <v>1007.1730968164061</v>
      </c>
      <c r="E144" s="46">
        <f>+E143+Per_child_accounting!AC$76</f>
        <v>1007.1730968164061</v>
      </c>
      <c r="F144" s="46">
        <f>+F143+Per_child_accounting!AD$76</f>
        <v>1006.8714898853957</v>
      </c>
      <c r="G144" s="46">
        <f>+G143+Per_child_accounting!AE$76</f>
        <v>1030.0180556975772</v>
      </c>
      <c r="H144" s="46">
        <f>+H143+Per_child_accounting!AF$76</f>
        <v>1072.1056308907771</v>
      </c>
      <c r="I144" s="46">
        <f>+I143+Per_child_accounting!AG$76</f>
        <v>1130.2298792105935</v>
      </c>
      <c r="J144" s="46">
        <f>+J143+Per_child_accounting!AH$76</f>
        <v>1214.6457621206614</v>
      </c>
      <c r="K144" s="46">
        <f>+K143+Per_child_accounting!AI$76</f>
        <v>1286.2994876196519</v>
      </c>
      <c r="L144" s="46">
        <f>+L143+Per_child_accounting!AJ$76</f>
        <v>1372.3851961645532</v>
      </c>
      <c r="M144" s="46">
        <f>+M143+Per_child_accounting!AK$76</f>
        <v>1417.961854260441</v>
      </c>
      <c r="N144" s="46">
        <f>+N143+Per_child_accounting!AL$76</f>
        <v>1471.2448351262797</v>
      </c>
      <c r="O144" s="46">
        <f>+O143+Per_child_accounting!AM$76</f>
        <v>1598.4919543431226</v>
      </c>
      <c r="P144" s="46">
        <f>+P143+Per_child_accounting!AN$76</f>
        <v>1748.9063784376749</v>
      </c>
      <c r="Q144" s="46">
        <f>+Q143+Per_child_accounting!AO$76</f>
        <v>1784.7581921229955</v>
      </c>
      <c r="R144" s="46"/>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row>
    <row r="145" spans="1:40" x14ac:dyDescent="0.2">
      <c r="D145" s="46"/>
      <c r="E145" s="46"/>
      <c r="F145" s="46"/>
      <c r="G145" s="46"/>
      <c r="H145" s="46"/>
      <c r="I145" s="46"/>
      <c r="J145" s="46"/>
      <c r="K145" s="46"/>
      <c r="L145" s="46"/>
      <c r="M145" s="46"/>
      <c r="N145" s="46"/>
      <c r="O145" s="46"/>
      <c r="P145" s="46"/>
      <c r="Q145" s="46"/>
      <c r="R145" s="46"/>
      <c r="S145" s="113"/>
      <c r="T145" s="113"/>
      <c r="U145" s="113"/>
      <c r="V145" s="113"/>
      <c r="W145" s="113"/>
      <c r="X145" s="113"/>
      <c r="Y145" s="113"/>
      <c r="Z145" s="113"/>
      <c r="AA145" s="113"/>
      <c r="AB145" s="113"/>
      <c r="AC145" s="113"/>
      <c r="AD145" s="113"/>
      <c r="AE145" s="113"/>
      <c r="AF145" s="113"/>
      <c r="AG145" s="113"/>
      <c r="AH145" s="113"/>
      <c r="AI145" s="113"/>
      <c r="AJ145" s="113"/>
      <c r="AK145" s="113"/>
      <c r="AL145" s="113"/>
      <c r="AM145" s="113"/>
      <c r="AN145" s="113"/>
    </row>
    <row r="146" spans="1:40" ht="28.5" x14ac:dyDescent="0.45">
      <c r="A146" s="368" t="s">
        <v>240</v>
      </c>
      <c r="B146" s="368"/>
      <c r="C146" s="368"/>
      <c r="D146" s="46"/>
      <c r="E146" s="46"/>
      <c r="F146" s="46"/>
      <c r="G146" s="46"/>
      <c r="H146" s="46"/>
      <c r="I146" s="46"/>
      <c r="J146" s="46"/>
      <c r="K146" s="46"/>
      <c r="L146" s="46"/>
      <c r="M146" s="46"/>
      <c r="N146" s="46"/>
      <c r="O146" s="46"/>
      <c r="P146" s="46"/>
      <c r="Q146" s="46"/>
      <c r="R146" s="46"/>
      <c r="S146" s="113"/>
      <c r="T146" s="113"/>
      <c r="U146" s="113"/>
      <c r="V146" s="113"/>
      <c r="W146" s="113"/>
      <c r="X146" s="113"/>
      <c r="Y146" s="113"/>
      <c r="Z146" s="113"/>
      <c r="AA146" s="113"/>
      <c r="AB146" s="113"/>
      <c r="AC146" s="113"/>
      <c r="AD146" s="113"/>
      <c r="AE146" s="113"/>
      <c r="AF146" s="113"/>
      <c r="AG146" s="113"/>
      <c r="AH146" s="113"/>
      <c r="AI146" s="113"/>
      <c r="AJ146" s="113"/>
      <c r="AK146" s="113"/>
      <c r="AL146" s="113"/>
      <c r="AM146" s="113"/>
      <c r="AN146" s="113"/>
    </row>
    <row r="147" spans="1:40" x14ac:dyDescent="0.2">
      <c r="A147" t="s">
        <v>1085</v>
      </c>
      <c r="B147" s="86" t="s">
        <v>1086</v>
      </c>
      <c r="C147" t="str">
        <f>+CONCATENATE(A$146,B147)</f>
        <v>Balance of SA2+0</v>
      </c>
      <c r="D147" s="46">
        <f>IF(+DropINTable!AB111=0,DropINTable!AC111,DropINTable!AB111)</f>
        <v>593.99119662754629</v>
      </c>
      <c r="E147" s="46">
        <f>IF(+DropINTable!AC111=0,DropINTable!AD111,DropINTable!AC111)</f>
        <v>593.99119662754629</v>
      </c>
      <c r="F147" s="46">
        <f>IF(+DropINTable!AD111=0,DropINTable!AE111,DropINTable!AD111)</f>
        <v>610.29630065541073</v>
      </c>
      <c r="G147" s="46">
        <f>IF(+DropINTable!AE111=0,DropINTable!AF111,DropINTable!AE111)</f>
        <v>634.23021581159526</v>
      </c>
      <c r="H147" s="46">
        <f>IF(+DropINTable!AF111=0,DropINTable!AG111,DropINTable!AF111)</f>
        <v>677.74944841809292</v>
      </c>
      <c r="I147" s="46">
        <f>IF(+DropINTable!AG111=0,DropINTable!AH111,DropINTable!AG111)</f>
        <v>737.85085854743113</v>
      </c>
      <c r="J147" s="46">
        <f>IF(+DropINTable!AH111=0,DropINTable!AI111,DropINTable!AH111)</f>
        <v>825.13824703667888</v>
      </c>
      <c r="K147" s="46">
        <f>IF(+DropINTable!AI111=0,DropINTable!AJ111,DropINTable!AI111)</f>
        <v>899.22935631054156</v>
      </c>
      <c r="L147" s="46">
        <f>IF(+DropINTable!AJ111=0,DropINTable!AK111,DropINTable!AJ111)</f>
        <v>988.24335629458847</v>
      </c>
      <c r="M147" s="46">
        <f>IF(+DropINTable!AK111=0,DropINTable!AL111,DropINTable!AK111)</f>
        <v>1035.3703568059066</v>
      </c>
      <c r="N147" s="46">
        <f>IF(+DropINTable!AL111=0,DropINTable!AM111,DropINTable!AL111)</f>
        <v>1090.4658215101249</v>
      </c>
      <c r="O147" s="46">
        <f>IF(+DropINTable!AM111=0,DropINTable!AN111,DropINTable!AM111)</f>
        <v>1222.0413903365545</v>
      </c>
      <c r="P147" s="46">
        <f>IF(+DropINTable!AN111=0,DropINTable!AO111,DropINTable!AN111)</f>
        <v>1377.5723236134304</v>
      </c>
      <c r="Q147" s="46">
        <f>IF(+DropINTable!AO111=0,DropINTable!AP111,DropINTable!AO111)</f>
        <v>1414.643682841358</v>
      </c>
      <c r="R147" s="46"/>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row>
    <row r="148" spans="1:40" x14ac:dyDescent="0.2">
      <c r="A148" t="s">
        <v>1087</v>
      </c>
      <c r="B148" s="86" t="s">
        <v>1088</v>
      </c>
      <c r="C148" t="str">
        <f t="shared" ref="C148:C158" si="49">+CONCATENATE(A$146,B148)</f>
        <v>Balance of SA2+1</v>
      </c>
      <c r="D148" s="46">
        <f t="shared" ref="D148:D149" si="50">+E148</f>
        <v>704.99313993593375</v>
      </c>
      <c r="E148" s="46">
        <f>IF(+DropINTable!AC112=0,DropINTable!AD112,DropINTable!AC112)</f>
        <v>704.99313993593375</v>
      </c>
      <c r="F148" s="46">
        <f>IF(+DropINTable!AD112=0,DropINTable!AE112,DropINTable!AD112)</f>
        <v>704.99313993593375</v>
      </c>
      <c r="G148" s="46">
        <f>IF(+DropINTable!AE112=0,DropINTable!AF112,DropINTable!AE112)</f>
        <v>728.90434324554678</v>
      </c>
      <c r="H148" s="46">
        <f>IF(+DropINTable!AF112=0,DropINTable!AG112,DropINTable!AF112)</f>
        <v>772.38228071849517</v>
      </c>
      <c r="I148" s="46">
        <f>IF(+DropINTable!AG112=0,DropINTable!AH112,DropINTable!AG112)</f>
        <v>832.42665546208661</v>
      </c>
      <c r="J148" s="46">
        <f>IF(+DropINTable!AH112=0,DropINTable!AI112,DropINTable!AH112)</f>
        <v>919.63121347967933</v>
      </c>
      <c r="K148" s="46">
        <f>IF(+DropINTable!AI112=0,DropINTable!AJ112,DropINTable!AI112)</f>
        <v>993.65201337052838</v>
      </c>
      <c r="L148" s="46">
        <f>IF(+DropINTable!AJ112=0,DropINTable!AK112,DropINTable!AJ112)</f>
        <v>1082.5815451235867</v>
      </c>
      <c r="M148" s="46">
        <f>IF(+DropINTable!AK112=0,DropINTable!AL112,DropINTable!AK112)</f>
        <v>1129.6638232457371</v>
      </c>
      <c r="N148" s="46">
        <f>IF(+DropINTable!AL112=0,DropINTable!AM112,DropINTable!AL112)</f>
        <v>1184.7070073777058</v>
      </c>
      <c r="O148" s="46">
        <f>IF(+DropINTable!AM112=0,DropINTable!AN112,DropINTable!AM112)</f>
        <v>1316.15771692626</v>
      </c>
      <c r="P148" s="46">
        <f>IF(+DropINTable!AN112=0,DropINTable!AO112,DropINTable!AN112)</f>
        <v>1471.5410598159247</v>
      </c>
      <c r="Q148" s="46">
        <f>IF(+DropINTable!AO112=0,DropINTable!AP112,DropINTable!AO112)</f>
        <v>1508.5772419107464</v>
      </c>
      <c r="R148" s="46"/>
      <c r="S148" s="113"/>
      <c r="T148" s="113"/>
      <c r="U148" s="113"/>
      <c r="V148" s="113"/>
      <c r="W148" s="113"/>
      <c r="X148" s="113"/>
      <c r="Y148" s="113"/>
      <c r="Z148" s="113"/>
      <c r="AA148" s="113"/>
      <c r="AB148" s="113"/>
      <c r="AC148" s="113"/>
      <c r="AD148" s="113"/>
      <c r="AE148" s="113"/>
      <c r="AF148" s="113"/>
      <c r="AG148" s="113"/>
      <c r="AH148" s="113"/>
      <c r="AI148" s="113"/>
      <c r="AJ148" s="113"/>
      <c r="AK148" s="113"/>
      <c r="AL148" s="113"/>
      <c r="AM148" s="113"/>
      <c r="AN148" s="113"/>
    </row>
    <row r="149" spans="1:40" x14ac:dyDescent="0.2">
      <c r="A149" t="s">
        <v>1089</v>
      </c>
      <c r="B149" s="86" t="s">
        <v>1090</v>
      </c>
      <c r="C149" t="str">
        <f t="shared" si="49"/>
        <v>Balance of SA2+2</v>
      </c>
      <c r="D149" s="46">
        <f t="shared" si="50"/>
        <v>783.18223350461665</v>
      </c>
      <c r="E149" s="46">
        <f>IF(+DropINTable!AC113=0,DropINTable!AD113,DropINTable!AC113)</f>
        <v>783.18223350461665</v>
      </c>
      <c r="F149" s="46">
        <f>IF(+DropINTable!AD113=0,DropINTable!AE113,DropINTable!AD113)</f>
        <v>783.18223350461665</v>
      </c>
      <c r="G149" s="46">
        <f>IF(+DropINTable!AE113=0,DropINTable!AF113,DropINTable!AE113)</f>
        <v>807.18660253636369</v>
      </c>
      <c r="H149" s="46">
        <f>IF(+DropINTable!AF113=0,DropINTable!AG113,DropINTable!AF113)</f>
        <v>850.83394506086574</v>
      </c>
      <c r="I149" s="46">
        <f>IF(+DropINTable!AG113=0,DropINTable!AH113,DropINTable!AG113)</f>
        <v>911.11227971858978</v>
      </c>
      <c r="J149" s="46">
        <f>IF(+DropINTable!AH113=0,DropINTable!AI113,DropINTable!AH113)</f>
        <v>998.65661963369155</v>
      </c>
      <c r="K149" s="46">
        <f>IF(+DropINTable!AI113=0,DropINTable!AJ113,DropINTable!AI113)</f>
        <v>1072.9658334794619</v>
      </c>
      <c r="L149" s="46">
        <f>IF(+DropINTable!AJ113=0,DropINTable!AK113,DropINTable!AJ113)</f>
        <v>1162.2418672786484</v>
      </c>
      <c r="M149" s="46">
        <f>IF(+DropINTable!AK113=0,DropINTable!AL113,DropINTable!AK113)</f>
        <v>1209.5075973174651</v>
      </c>
      <c r="N149" s="46">
        <f>IF(+DropINTable!AL113=0,DropINTable!AM113,DropINTable!AL113)</f>
        <v>1264.7652483717422</v>
      </c>
      <c r="O149" s="46">
        <f>IF(+DropINTable!AM113=0,DropINTable!AN113,DropINTable!AM113)</f>
        <v>1396.7281429008419</v>
      </c>
      <c r="P149" s="46">
        <f>IF(+DropINTable!AN113=0,DropINTable!AO113,DropINTable!AN113)</f>
        <v>1552.7169181949566</v>
      </c>
      <c r="Q149" s="46">
        <f>IF(+DropINTable!AO113=0,DropINTable!AP113,DropINTable!AO113)</f>
        <v>1589.8974075427782</v>
      </c>
      <c r="R149" s="46"/>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row>
    <row r="150" spans="1:40" x14ac:dyDescent="0.2">
      <c r="A150" t="s">
        <v>1091</v>
      </c>
      <c r="B150" s="86" t="s">
        <v>1092</v>
      </c>
      <c r="C150" t="str">
        <f t="shared" si="49"/>
        <v>Balance of SA2+3</v>
      </c>
      <c r="D150" s="46">
        <f t="shared" ref="D150" si="51">+F150</f>
        <v>876.15946126627546</v>
      </c>
      <c r="E150" s="46">
        <f>+F150</f>
        <v>876.15946126627546</v>
      </c>
      <c r="F150" s="46">
        <f>IF(+DropINTable!AD114=0,DropINTable!AE114,DropINTable!AD114)</f>
        <v>876.15946126627546</v>
      </c>
      <c r="G150" s="46">
        <f>IF(+DropINTable!AE114=0,DropINTable!AF114,DropINTable!AE114)</f>
        <v>876.15946126627546</v>
      </c>
      <c r="H150" s="46">
        <f>IF(+DropINTable!AF114=0,DropINTable!AG114,DropINTable!AF114)</f>
        <v>919.95527658350795</v>
      </c>
      <c r="I150" s="46">
        <f>IF(+DropINTable!AG114=0,DropINTable!AH114,DropINTable!AG114)</f>
        <v>980.43865636674036</v>
      </c>
      <c r="J150" s="46">
        <f>IF(+DropINTable!AH114=0,DropINTable!AI114,DropINTable!AH114)</f>
        <v>1068.2807877377963</v>
      </c>
      <c r="K150" s="46">
        <f>IF(+DropINTable!AI114=0,DropINTable!AJ114,DropINTable!AI114)</f>
        <v>1142.8427759809247</v>
      </c>
      <c r="L150" s="46">
        <f>IF(+DropINTable!AJ114=0,DropINTable!AK114,DropINTable!AJ114)</f>
        <v>1232.4224959141538</v>
      </c>
      <c r="M150" s="46">
        <f>IF(+DropINTable!AK114=0,DropINTable!AL114,DropINTable!AK114)</f>
        <v>1279.849006487191</v>
      </c>
      <c r="N150" s="46">
        <f>IF(+DropINTable!AL114=0,DropINTable!AM114,DropINTable!AL114)</f>
        <v>1335.2946256305934</v>
      </c>
      <c r="O150" s="46">
        <f>IF(+DropINTable!AM114=0,DropINTable!AN114,DropINTable!AM114)</f>
        <v>1467.7064064528986</v>
      </c>
      <c r="P150" s="46">
        <f>IF(+DropINTable!AN114=0,DropINTable!AO114,DropINTable!AN114)</f>
        <v>1624.2258000185561</v>
      </c>
      <c r="Q150" s="46">
        <f>IF(+DropINTable!AO114=0,DropINTable!AP114,DropINTable!AO114)</f>
        <v>1661.5327614687806</v>
      </c>
      <c r="R150" s="46"/>
      <c r="S150" s="113"/>
      <c r="T150" s="113"/>
      <c r="U150" s="113"/>
      <c r="V150" s="113"/>
      <c r="W150" s="113"/>
      <c r="X150" s="113"/>
      <c r="Y150" s="113"/>
      <c r="Z150" s="113"/>
      <c r="AA150" s="113"/>
      <c r="AB150" s="113"/>
      <c r="AC150" s="113"/>
      <c r="AD150" s="113"/>
      <c r="AE150" s="113"/>
      <c r="AF150" s="113"/>
      <c r="AG150" s="113"/>
      <c r="AH150" s="113"/>
      <c r="AI150" s="113"/>
      <c r="AJ150" s="113"/>
      <c r="AK150" s="113"/>
      <c r="AL150" s="113"/>
      <c r="AM150" s="113"/>
      <c r="AN150" s="113"/>
    </row>
    <row r="151" spans="1:40" x14ac:dyDescent="0.2">
      <c r="B151" s="86" t="s">
        <v>1093</v>
      </c>
      <c r="C151" t="str">
        <f t="shared" ref="C151:C153" si="52">+CONCATENATE(A$146,B151)</f>
        <v>Balance of SA2+4</v>
      </c>
      <c r="D151" s="46">
        <f>+D150+Per_child_accounting!$AD$81</f>
        <v>970.85630054679848</v>
      </c>
      <c r="E151" s="46">
        <f>+E150+Per_child_accounting!$AD$81</f>
        <v>970.85630054679848</v>
      </c>
      <c r="F151" s="46">
        <f>+F150+Per_child_accounting!AD$81</f>
        <v>970.85630054679848</v>
      </c>
      <c r="G151" s="46">
        <f>+G150+Per_child_accounting!AE$81</f>
        <v>970.83358870022698</v>
      </c>
      <c r="H151" s="46">
        <f>+H150+Per_child_accounting!AF$81</f>
        <v>1014.5881088839102</v>
      </c>
      <c r="I151" s="46">
        <f>+I150+Per_child_accounting!AG$81</f>
        <v>1075.0144532813958</v>
      </c>
      <c r="J151" s="46">
        <f>+J150+Per_child_accounting!AH$81</f>
        <v>1162.7737541807969</v>
      </c>
      <c r="K151" s="46">
        <f>+K150+Per_child_accounting!AI$81</f>
        <v>1237.2654330409114</v>
      </c>
      <c r="L151" s="46">
        <f>+L150+Per_child_accounting!AJ$81</f>
        <v>1326.7606847431521</v>
      </c>
      <c r="M151" s="46">
        <f>+M150+Per_child_accounting!AK$81</f>
        <v>1374.1424729270216</v>
      </c>
      <c r="N151" s="46">
        <f>+N150+Per_child_accounting!AL$81</f>
        <v>1429.5358114981743</v>
      </c>
      <c r="O151" s="46">
        <f>+O150+Per_child_accounting!AM$81</f>
        <v>1561.8227330426041</v>
      </c>
      <c r="P151" s="46">
        <f>+P150+Per_child_accounting!AN$81</f>
        <v>1718.1945362210504</v>
      </c>
      <c r="Q151" s="46">
        <f>+Q150+Per_child_accounting!AO$81</f>
        <v>1755.4663205381689</v>
      </c>
      <c r="R151" s="46"/>
      <c r="S151" s="113"/>
      <c r="T151" s="113"/>
      <c r="U151" s="113"/>
      <c r="V151" s="113"/>
      <c r="W151" s="113"/>
      <c r="X151" s="113"/>
      <c r="Y151" s="113"/>
      <c r="Z151" s="113"/>
      <c r="AA151" s="113"/>
      <c r="AB151" s="113"/>
      <c r="AC151" s="113"/>
      <c r="AD151" s="113"/>
      <c r="AE151" s="113"/>
      <c r="AF151" s="113"/>
      <c r="AG151" s="113"/>
      <c r="AH151" s="113"/>
      <c r="AI151" s="113"/>
      <c r="AJ151" s="113"/>
      <c r="AK151" s="113"/>
      <c r="AL151" s="113"/>
      <c r="AM151" s="113"/>
      <c r="AN151" s="113"/>
    </row>
    <row r="152" spans="1:40" x14ac:dyDescent="0.2">
      <c r="B152" s="86" t="s">
        <v>1094</v>
      </c>
      <c r="C152" t="str">
        <f t="shared" si="52"/>
        <v>Balance of SA2+5</v>
      </c>
      <c r="D152" s="46">
        <f>+D151+Per_child_accounting!$AD$81</f>
        <v>1065.5531398273215</v>
      </c>
      <c r="E152" s="46">
        <f>+E151+Per_child_accounting!$AD$81</f>
        <v>1065.5531398273215</v>
      </c>
      <c r="F152" s="46">
        <f>+F151+Per_child_accounting!$AD$81</f>
        <v>1065.5531398273215</v>
      </c>
      <c r="G152" s="46">
        <f>+G151+Per_child_accounting!AE$81</f>
        <v>1065.5077161341785</v>
      </c>
      <c r="H152" s="46">
        <f>+H151+Per_child_accounting!AF$81</f>
        <v>1109.2209411843123</v>
      </c>
      <c r="I152" s="46">
        <f>+I151+Per_child_accounting!AG$81</f>
        <v>1169.5902501960513</v>
      </c>
      <c r="J152" s="46">
        <f>+J151+Per_child_accounting!AH$81</f>
        <v>1257.2667206237975</v>
      </c>
      <c r="K152" s="46">
        <f>+K151+Per_child_accounting!AI$81</f>
        <v>1331.6880901008981</v>
      </c>
      <c r="L152" s="46">
        <f>+L151+Per_child_accounting!AJ$81</f>
        <v>1421.0988735721503</v>
      </c>
      <c r="M152" s="46">
        <f>+M151+Per_child_accounting!AK$81</f>
        <v>1468.4359393668522</v>
      </c>
      <c r="N152" s="46">
        <f>+N151+Per_child_accounting!AL$81</f>
        <v>1523.7769973657553</v>
      </c>
      <c r="O152" s="46">
        <f>+O151+Per_child_accounting!AM$81</f>
        <v>1655.9390596323096</v>
      </c>
      <c r="P152" s="46">
        <f>+P151+Per_child_accounting!AN$81</f>
        <v>1812.1632724235446</v>
      </c>
      <c r="Q152" s="46">
        <f>+Q151+Per_child_accounting!AO$81</f>
        <v>1849.3998796075573</v>
      </c>
      <c r="R152" s="46"/>
      <c r="S152" s="113"/>
      <c r="T152" s="113"/>
      <c r="U152" s="113"/>
      <c r="V152" s="113"/>
      <c r="W152" s="113"/>
      <c r="X152" s="113"/>
      <c r="Y152" s="113"/>
      <c r="Z152" s="113"/>
      <c r="AA152" s="113"/>
      <c r="AB152" s="113"/>
      <c r="AC152" s="113"/>
      <c r="AD152" s="113"/>
      <c r="AE152" s="113"/>
      <c r="AF152" s="113"/>
      <c r="AG152" s="113"/>
      <c r="AH152" s="113"/>
      <c r="AI152" s="113"/>
      <c r="AJ152" s="113"/>
      <c r="AK152" s="113"/>
      <c r="AL152" s="113"/>
      <c r="AM152" s="113"/>
      <c r="AN152" s="113"/>
    </row>
    <row r="153" spans="1:40" x14ac:dyDescent="0.2">
      <c r="B153" s="86" t="s">
        <v>1095</v>
      </c>
      <c r="C153" t="str">
        <f t="shared" si="52"/>
        <v>Balance of SA2+6</v>
      </c>
      <c r="D153" s="46">
        <f>+D152+Per_child_accounting!$AD$81</f>
        <v>1160.2499791078444</v>
      </c>
      <c r="E153" s="46">
        <f>+E152+Per_child_accounting!$AD$81</f>
        <v>1160.2499791078444</v>
      </c>
      <c r="F153" s="46">
        <f>+F152+Per_child_accounting!$AD$81</f>
        <v>1160.2499791078444</v>
      </c>
      <c r="G153" s="46">
        <f>+G152+Per_child_accounting!AE$81</f>
        <v>1160.18184356813</v>
      </c>
      <c r="H153" s="46">
        <f>+H152+Per_child_accounting!AF$81</f>
        <v>1203.8537734847146</v>
      </c>
      <c r="I153" s="46">
        <f>+I152+Per_child_accounting!AG$81</f>
        <v>1264.1660471107068</v>
      </c>
      <c r="J153" s="46">
        <f>+J152+Per_child_accounting!AH$81</f>
        <v>1351.7596870667981</v>
      </c>
      <c r="K153" s="46">
        <f>+K152+Per_child_accounting!AI$81</f>
        <v>1426.1107471608848</v>
      </c>
      <c r="L153" s="46">
        <f>+L152+Per_child_accounting!AJ$81</f>
        <v>1515.4370624011485</v>
      </c>
      <c r="M153" s="46">
        <f>+M152+Per_child_accounting!AK$81</f>
        <v>1562.7294058066827</v>
      </c>
      <c r="N153" s="46">
        <f>+N152+Per_child_accounting!AL$81</f>
        <v>1618.0181832333362</v>
      </c>
      <c r="O153" s="46">
        <f>+O152+Per_child_accounting!AM$81</f>
        <v>1750.0553862220152</v>
      </c>
      <c r="P153" s="46">
        <f>+P152+Per_child_accounting!AN$81</f>
        <v>1906.1320086260389</v>
      </c>
      <c r="Q153" s="46">
        <f>+Q152+Per_child_accounting!AO$81</f>
        <v>1943.3334386769457</v>
      </c>
      <c r="R153" s="46"/>
      <c r="S153" s="113"/>
      <c r="T153" s="113"/>
      <c r="U153" s="113"/>
      <c r="V153" s="113"/>
      <c r="W153" s="113"/>
      <c r="X153" s="113"/>
      <c r="Y153" s="113"/>
      <c r="Z153" s="113"/>
      <c r="AA153" s="113"/>
      <c r="AB153" s="113"/>
      <c r="AC153" s="113"/>
      <c r="AD153" s="113"/>
      <c r="AE153" s="113"/>
      <c r="AF153" s="113"/>
      <c r="AG153" s="113"/>
      <c r="AH153" s="113"/>
      <c r="AI153" s="113"/>
      <c r="AJ153" s="113"/>
      <c r="AK153" s="113"/>
      <c r="AL153" s="113"/>
      <c r="AM153" s="113"/>
      <c r="AN153" s="113"/>
    </row>
    <row r="154" spans="1:40" x14ac:dyDescent="0.2">
      <c r="B154" s="86"/>
      <c r="D154" s="46"/>
      <c r="E154" s="46"/>
      <c r="F154" s="46"/>
      <c r="G154" s="46"/>
      <c r="H154" s="46"/>
      <c r="I154" s="46"/>
      <c r="J154" s="46"/>
      <c r="K154" s="46"/>
      <c r="L154" s="46"/>
      <c r="M154" s="46"/>
      <c r="N154" s="46"/>
      <c r="O154" s="46"/>
      <c r="P154" s="46"/>
      <c r="Q154" s="46"/>
      <c r="R154" s="46"/>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row>
    <row r="155" spans="1:40" x14ac:dyDescent="0.2">
      <c r="A155" t="s">
        <v>1096</v>
      </c>
      <c r="B155" s="86" t="s">
        <v>1097</v>
      </c>
      <c r="C155" t="str">
        <f t="shared" si="49"/>
        <v>Balance of SA1+0</v>
      </c>
      <c r="D155" s="46">
        <f>IF(+DropINTable!AB116=0,DropINTable!AC116,DropINTable!AB116)</f>
        <v>290.63468984735226</v>
      </c>
      <c r="E155" s="46">
        <f>IF(+DropINTable!AC116=0,DropINTable!AD116,DropINTable!AC116)</f>
        <v>307.775945223843</v>
      </c>
      <c r="F155" s="46">
        <f>IF(+DropINTable!AD116=0,DropINTable!AE116,DropINTable!AD116)</f>
        <v>323.92426972643767</v>
      </c>
      <c r="G155" s="46">
        <f>IF(+DropINTable!AE116=0,DropINTable!AF116,DropINTable!AE116)</f>
        <v>347.62805224419395</v>
      </c>
      <c r="H155" s="46">
        <f>IF(+DropINTable!AF116=0,DropINTable!AG116,DropINTable!AF116)</f>
        <v>390.72883289315001</v>
      </c>
      <c r="I155" s="46">
        <f>IF(+DropINTable!AG116=0,DropINTable!AH116,DropINTable!AG116)</f>
        <v>450.25234673900673</v>
      </c>
      <c r="J155" s="46">
        <f>IF(+DropINTable!AH116=0,DropINTable!AI116,DropINTable!AH116)</f>
        <v>536.70043704146599</v>
      </c>
      <c r="K155" s="46">
        <f>IF(+DropINTable!AI116=0,DropINTable!AJ116,DropINTable!AI116)</f>
        <v>610.07913431329303</v>
      </c>
      <c r="L155" s="46">
        <f>IF(+DropINTable!AJ116=0,DropINTable!AK116,DropINTable!AJ116)</f>
        <v>698.23723443905556</v>
      </c>
      <c r="M155" s="46">
        <f>IF(+DropINTable!AK116=0,DropINTable!AL116,DropINTable!AK116)</f>
        <v>744.91109306708336</v>
      </c>
      <c r="N155" s="46">
        <f>IF(+DropINTable!AL116=0,DropINTable!AM116,DropINTable!AL116)</f>
        <v>799.47679469056868</v>
      </c>
      <c r="O155" s="46">
        <f>IF(+DropINTable!AM116=0,DropINTable!AN116,DropINTable!AM116)</f>
        <v>929.78721875005692</v>
      </c>
      <c r="P155" s="46">
        <f>IF(+DropINTable!AN116=0,DropINTable!AO116,DropINTable!AN116)</f>
        <v>1083.8226685587165</v>
      </c>
      <c r="Q155" s="46">
        <f>IF(+DropINTable!AO116=0,DropINTable!AP116,DropINTable!AO116)</f>
        <v>1120.5375759156082</v>
      </c>
      <c r="R155" s="46"/>
      <c r="S155" s="113"/>
      <c r="T155" s="113"/>
      <c r="U155" s="113"/>
      <c r="V155" s="113"/>
      <c r="W155" s="113"/>
      <c r="X155" s="113"/>
      <c r="Y155" s="113"/>
      <c r="Z155" s="113"/>
      <c r="AA155" s="113"/>
      <c r="AB155" s="113"/>
      <c r="AC155" s="113"/>
      <c r="AD155" s="113"/>
      <c r="AE155" s="113"/>
      <c r="AF155" s="113"/>
      <c r="AG155" s="113"/>
      <c r="AH155" s="113"/>
      <c r="AI155" s="113"/>
      <c r="AJ155" s="113"/>
      <c r="AK155" s="113"/>
      <c r="AL155" s="113"/>
      <c r="AM155" s="113"/>
      <c r="AN155" s="113"/>
    </row>
    <row r="156" spans="1:40" x14ac:dyDescent="0.2">
      <c r="A156" t="s">
        <v>1098</v>
      </c>
      <c r="B156" s="86" t="s">
        <v>1099</v>
      </c>
      <c r="C156" t="str">
        <f t="shared" si="49"/>
        <v>Balance of SA1+1</v>
      </c>
      <c r="D156" s="46">
        <f>IF(+DropINTable!AB117=0,DropINTable!AC117,DropINTable!AB117)</f>
        <v>407.51615716115271</v>
      </c>
      <c r="E156" s="46">
        <f>IF(+DropINTable!AC117=0,DropINTable!AD117,DropINTable!AC117)</f>
        <v>407.51615716115271</v>
      </c>
      <c r="F156" s="46">
        <f>IF(+DropINTable!AD117=0,DropINTable!AE117,DropINTable!AD117)</f>
        <v>423.56394596721208</v>
      </c>
      <c r="G156" s="46">
        <f>IF(+DropINTable!AE117=0,DropINTable!AF117,DropINTable!AE117)</f>
        <v>447.12015358876869</v>
      </c>
      <c r="H156" s="46">
        <f>IF(+DropINTable!AF117=0,DropINTable!AG117,DropINTable!AF117)</f>
        <v>489.95259980887704</v>
      </c>
      <c r="I156" s="46">
        <f>IF(+DropINTable!AG117=0,DropINTable!AH117,DropINTable!AG117)</f>
        <v>549.10553438214163</v>
      </c>
      <c r="J156" s="46">
        <f>IF(+DropINTable!AH117=0,DropINTable!AI117,DropINTable!AH117)</f>
        <v>635.01541869634673</v>
      </c>
      <c r="K156" s="46">
        <f>IF(+DropINTable!AI117=0,DropINTable!AJ117,DropINTable!AI117)</f>
        <v>707.93727876758021</v>
      </c>
      <c r="L156" s="46">
        <f>IF(+DropINTable!AJ117=0,DropINTable!AK117,DropINTable!AJ117)</f>
        <v>795.54652693663127</v>
      </c>
      <c r="M156" s="46">
        <f>IF(+DropINTable!AK117=0,DropINTable!AL117,DropINTable!AK117)</f>
        <v>841.92980535166816</v>
      </c>
      <c r="N156" s="46">
        <f>IF(+DropINTable!AL117=0,DropINTable!AM117,DropINTable!AL117)</f>
        <v>896.15579436152927</v>
      </c>
      <c r="O156" s="46">
        <f>IF(+DropINTable!AM117=0,DropINTable!AN117,DropINTable!AM117)</f>
        <v>1025.6549364162652</v>
      </c>
      <c r="P156" s="46">
        <f>IF(+DropINTable!AN117=0,DropINTable!AO117,DropINTable!AN117)</f>
        <v>1178.7313974264641</v>
      </c>
      <c r="Q156" s="46">
        <f>IF(+DropINTable!AO117=0,DropINTable!AP117,DropINTable!AO117)</f>
        <v>1215.2177274449064</v>
      </c>
      <c r="R156" s="46"/>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row>
    <row r="157" spans="1:40" x14ac:dyDescent="0.2">
      <c r="A157" t="s">
        <v>1100</v>
      </c>
      <c r="B157" s="86" t="s">
        <v>1101</v>
      </c>
      <c r="C157" t="str">
        <f t="shared" si="49"/>
        <v>Balance of SA1+2</v>
      </c>
      <c r="D157" s="46">
        <f>IF(+DropINTable!AB118=0,DropINTable!AC118,DropINTable!AB118)</f>
        <v>525.24939195391721</v>
      </c>
      <c r="E157" s="46">
        <f>IF(+DropINTable!AC118=0,DropINTable!AD118,DropINTable!AC118)</f>
        <v>525.24939195391721</v>
      </c>
      <c r="F157" s="46">
        <f>IF(+DropINTable!AD118=0,DropINTable!AE118,DropINTable!AD118)</f>
        <v>541.30844529859496</v>
      </c>
      <c r="G157" s="46">
        <f>IF(+DropINTable!AE118=0,DropINTable!AF118,DropINTable!AE118)</f>
        <v>564.88119050703551</v>
      </c>
      <c r="H157" s="46">
        <f>IF(+DropINTable!AF118=0,DropINTable!AG118,DropINTable!AF118)</f>
        <v>607.74370328585758</v>
      </c>
      <c r="I157" s="46">
        <f>IF(+DropINTable!AG118=0,DropINTable!AH118,DropINTable!AG118)</f>
        <v>666.93816622539555</v>
      </c>
      <c r="J157" s="46">
        <f>IF(+DropINTable!AH118=0,DropINTable!AI118,DropINTable!AH118)</f>
        <v>752.90835967598196</v>
      </c>
      <c r="K157" s="46">
        <f>IF(+DropINTable!AI118=0,DropINTable!AJ118,DropINTable!AI118)</f>
        <v>825.8814111183151</v>
      </c>
      <c r="L157" s="46">
        <f>IF(+DropINTable!AJ118=0,DropINTable!AK118,DropINTable!AJ118)</f>
        <v>913.55216189366104</v>
      </c>
      <c r="M157" s="46">
        <f>IF(+DropINTable!AK118=0,DropINTable!AL118,DropINTable!AK118)</f>
        <v>959.96800230663052</v>
      </c>
      <c r="N157" s="46">
        <f>IF(+DropINTable!AL118=0,DropINTable!AM118,DropINTable!AL118)</f>
        <v>1014.2320565213097</v>
      </c>
      <c r="O157" s="46">
        <f>IF(+DropINTable!AM118=0,DropINTable!AN118,DropINTable!AM118)</f>
        <v>1143.822114079328</v>
      </c>
      <c r="P157" s="46">
        <f>IF(+DropINTable!AN118=0,DropINTable!AO118,DropINTable!AN118)</f>
        <v>1297.0060344619087</v>
      </c>
      <c r="Q157" s="46">
        <f>IF(+DropINTable!AO118=0,DropINTable!AP118,DropINTable!AO118)</f>
        <v>1333.5179711031913</v>
      </c>
      <c r="R157" s="46"/>
      <c r="S157" s="113"/>
      <c r="T157" s="113"/>
      <c r="U157" s="113"/>
      <c r="V157" s="113"/>
      <c r="W157" s="113"/>
      <c r="X157" s="113"/>
      <c r="Y157" s="113"/>
      <c r="Z157" s="113"/>
      <c r="AA157" s="113"/>
      <c r="AB157" s="113"/>
      <c r="AC157" s="113"/>
      <c r="AD157" s="113"/>
      <c r="AE157" s="113"/>
      <c r="AF157" s="113"/>
      <c r="AG157" s="113"/>
      <c r="AH157" s="113"/>
      <c r="AI157" s="113"/>
      <c r="AJ157" s="113"/>
      <c r="AK157" s="113"/>
      <c r="AL157" s="113"/>
      <c r="AM157" s="113"/>
      <c r="AN157" s="113"/>
    </row>
    <row r="158" spans="1:40" x14ac:dyDescent="0.2">
      <c r="A158" t="s">
        <v>1102</v>
      </c>
      <c r="B158" s="86" t="s">
        <v>1103</v>
      </c>
      <c r="C158" t="str">
        <f t="shared" si="49"/>
        <v>Balance of SA1+3</v>
      </c>
      <c r="D158" s="46">
        <f t="shared" ref="D158" si="53">+E158</f>
        <v>659.0529446299779</v>
      </c>
      <c r="E158" s="46">
        <f>IF(+DropINTable!AC119=0,DropINTable!AD119,DropINTable!AC119)</f>
        <v>659.0529446299779</v>
      </c>
      <c r="F158" s="46">
        <f>IF(+DropINTable!AD119=0,DropINTable!AE119,DropINTable!AD119)</f>
        <v>659.0529446299779</v>
      </c>
      <c r="G158" s="46">
        <f>IF(+DropINTable!AE119=0,DropINTable!AF119,DropINTable!AE119)</f>
        <v>682.64222742530228</v>
      </c>
      <c r="H158" s="46">
        <f>IF(+DropINTable!AF119=0,DropINTable!AG119,DropINTable!AF119)</f>
        <v>725.53480676283812</v>
      </c>
      <c r="I158" s="46">
        <f>IF(+DropINTable!AG119=0,DropINTable!AH119,DropINTable!AG119)</f>
        <v>784.77079806864947</v>
      </c>
      <c r="J158" s="46">
        <f>IF(+DropINTable!AH119=0,DropINTable!AI119,DropINTable!AH119)</f>
        <v>870.80130065561718</v>
      </c>
      <c r="K158" s="46">
        <f>IF(+DropINTable!AI119=0,DropINTable!AJ119,DropINTable!AI119)</f>
        <v>943.82554346904999</v>
      </c>
      <c r="L158" s="46">
        <f>IF(+DropINTable!AJ119=0,DropINTable!AK119,DropINTable!AJ119)</f>
        <v>1031.5577968506909</v>
      </c>
      <c r="M158" s="46">
        <f>IF(+DropINTable!AK119=0,DropINTable!AL119,DropINTable!AK119)</f>
        <v>1078.0061992615929</v>
      </c>
      <c r="N158" s="46">
        <f>IF(+DropINTable!AL119=0,DropINTable!AM119,DropINTable!AL119)</f>
        <v>1132.30831868109</v>
      </c>
      <c r="O158" s="46">
        <f>IF(+DropINTable!AM119=0,DropINTable!AN119,DropINTable!AM119)</f>
        <v>1261.9892917423908</v>
      </c>
      <c r="P158" s="46">
        <f>IF(+DropINTable!AN119=0,DropINTable!AO119,DropINTable!AN119)</f>
        <v>1415.2806714973533</v>
      </c>
      <c r="Q158" s="46">
        <f>IF(+DropINTable!AO119=0,DropINTable!AP119,DropINTable!AO119)</f>
        <v>1451.8182147614762</v>
      </c>
      <c r="S158" s="113"/>
      <c r="T158" s="113"/>
      <c r="U158" s="113"/>
      <c r="V158" s="113"/>
      <c r="W158" s="113"/>
      <c r="X158" s="113"/>
      <c r="Y158" s="113"/>
      <c r="Z158" s="113"/>
      <c r="AA158" s="113"/>
      <c r="AB158" s="113"/>
      <c r="AC158" s="113"/>
      <c r="AD158" s="113"/>
      <c r="AE158" s="113"/>
      <c r="AF158" s="113"/>
      <c r="AG158" s="113"/>
      <c r="AH158" s="113"/>
      <c r="AI158" s="113"/>
      <c r="AJ158" s="113"/>
      <c r="AK158" s="113"/>
      <c r="AL158" s="113"/>
      <c r="AM158" s="113"/>
      <c r="AN158" s="113"/>
    </row>
    <row r="159" spans="1:40" x14ac:dyDescent="0.2">
      <c r="B159" s="86" t="s">
        <v>1104</v>
      </c>
      <c r="C159" t="str">
        <f t="shared" ref="C159:C161" si="54">+CONCATENATE(A$146,B159)</f>
        <v>Balance of SA1+4</v>
      </c>
      <c r="D159" s="46">
        <f>+D158+Per_child_accounting!AC$84</f>
        <v>758.79315656728761</v>
      </c>
      <c r="E159" s="46">
        <f>+E158+Per_child_accounting!AC$84</f>
        <v>758.79315656728761</v>
      </c>
      <c r="F159" s="46">
        <f>+F158+Per_child_accounting!AD$84</f>
        <v>758.69262087075231</v>
      </c>
      <c r="G159" s="46">
        <f>+G158+Per_child_accounting!AE$84</f>
        <v>782.13432876987702</v>
      </c>
      <c r="H159" s="46">
        <f>+H158+Per_child_accounting!AF$84</f>
        <v>824.7585736785652</v>
      </c>
      <c r="I159" s="46">
        <f>+I158+Per_child_accounting!AG$84</f>
        <v>883.62398571178437</v>
      </c>
      <c r="J159" s="46">
        <f>+J158+Per_child_accounting!AH$84</f>
        <v>969.11628231049792</v>
      </c>
      <c r="K159" s="46">
        <f>+K158+Per_child_accounting!AI$84</f>
        <v>1041.6836879233372</v>
      </c>
      <c r="L159" s="46">
        <f>+L158+Per_child_accounting!AJ$84</f>
        <v>1128.8670893482667</v>
      </c>
      <c r="M159" s="46">
        <f>+M158+Per_child_accounting!AK$84</f>
        <v>1175.0249115461777</v>
      </c>
      <c r="N159" s="46">
        <f>+N158+Per_child_accounting!AL$84</f>
        <v>1228.9873183520506</v>
      </c>
      <c r="O159" s="46">
        <f>+O158+Per_child_accounting!AM$84</f>
        <v>1357.857009408599</v>
      </c>
      <c r="P159" s="46">
        <f>+P158+Per_child_accounting!AN$84</f>
        <v>1510.1894003651009</v>
      </c>
      <c r="Q159" s="46">
        <f>+Q158+Per_child_accounting!AO$84</f>
        <v>1546.4983662907744</v>
      </c>
      <c r="S159" s="113"/>
      <c r="T159" s="113"/>
      <c r="U159" s="113"/>
      <c r="V159" s="113"/>
      <c r="W159" s="113"/>
      <c r="X159" s="113"/>
      <c r="Y159" s="113"/>
      <c r="Z159" s="113"/>
      <c r="AA159" s="113"/>
      <c r="AB159" s="113"/>
      <c r="AC159" s="113"/>
      <c r="AD159" s="113"/>
      <c r="AE159" s="113"/>
      <c r="AF159" s="113"/>
      <c r="AG159" s="113"/>
      <c r="AH159" s="113"/>
      <c r="AI159" s="113"/>
      <c r="AJ159" s="113"/>
      <c r="AK159" s="113"/>
      <c r="AL159" s="113"/>
      <c r="AM159" s="113"/>
      <c r="AN159" s="113"/>
    </row>
    <row r="160" spans="1:40" x14ac:dyDescent="0.2">
      <c r="B160" s="86" t="s">
        <v>1105</v>
      </c>
      <c r="C160" t="str">
        <f t="shared" si="54"/>
        <v>Balance of SA1+5</v>
      </c>
      <c r="D160" s="46">
        <f>+D159+Per_child_accounting!AC$84</f>
        <v>858.53336850459732</v>
      </c>
      <c r="E160" s="46">
        <f>+E159+Per_child_accounting!AC$84</f>
        <v>858.53336850459732</v>
      </c>
      <c r="F160" s="46">
        <f>+F159+Per_child_accounting!AD$84</f>
        <v>858.33229711152671</v>
      </c>
      <c r="G160" s="46">
        <f>+G159+Per_child_accounting!AE$84</f>
        <v>881.62643011445175</v>
      </c>
      <c r="H160" s="46">
        <f>+H159+Per_child_accounting!AF$84</f>
        <v>923.98234059429228</v>
      </c>
      <c r="I160" s="46">
        <f>+I159+Per_child_accounting!AG$84</f>
        <v>982.47717335491927</v>
      </c>
      <c r="J160" s="46">
        <f>+J159+Per_child_accounting!AH$84</f>
        <v>1067.4312639653785</v>
      </c>
      <c r="K160" s="46">
        <f>+K159+Per_child_accounting!AI$84</f>
        <v>1139.5418323776244</v>
      </c>
      <c r="L160" s="46">
        <f>+L159+Per_child_accounting!AJ$84</f>
        <v>1226.1763818458426</v>
      </c>
      <c r="M160" s="46">
        <f>+M159+Per_child_accounting!AK$84</f>
        <v>1272.0436238307625</v>
      </c>
      <c r="N160" s="46">
        <f>+N159+Per_child_accounting!AL$84</f>
        <v>1325.6663180230112</v>
      </c>
      <c r="O160" s="46">
        <f>+O159+Per_child_accounting!AM$84</f>
        <v>1453.7247270748071</v>
      </c>
      <c r="P160" s="46">
        <f>+P159+Per_child_accounting!AN$84</f>
        <v>1605.0981292328486</v>
      </c>
      <c r="Q160" s="46">
        <f>+Q159+Per_child_accounting!AO$84</f>
        <v>1641.1785178200726</v>
      </c>
      <c r="S160" s="113"/>
      <c r="T160" s="113"/>
      <c r="U160" s="113"/>
      <c r="V160" s="113"/>
      <c r="W160" s="113"/>
      <c r="X160" s="113"/>
      <c r="Y160" s="113"/>
      <c r="Z160" s="113"/>
      <c r="AA160" s="113"/>
      <c r="AB160" s="113"/>
      <c r="AC160" s="113"/>
      <c r="AD160" s="113"/>
      <c r="AE160" s="113"/>
      <c r="AF160" s="113"/>
      <c r="AG160" s="113"/>
      <c r="AH160" s="113"/>
      <c r="AI160" s="113"/>
      <c r="AJ160" s="113"/>
      <c r="AK160" s="113"/>
      <c r="AL160" s="113"/>
      <c r="AM160" s="113"/>
      <c r="AN160" s="113"/>
    </row>
    <row r="161" spans="1:40" x14ac:dyDescent="0.2">
      <c r="B161" s="86" t="s">
        <v>1106</v>
      </c>
      <c r="C161" t="str">
        <f t="shared" si="54"/>
        <v>Balance of SA1+6</v>
      </c>
      <c r="D161" s="46">
        <f>+D160+Per_child_accounting!AC$84</f>
        <v>958.27358044190703</v>
      </c>
      <c r="E161" s="46">
        <f>+E160+Per_child_accounting!AC$84</f>
        <v>958.27358044190703</v>
      </c>
      <c r="F161" s="46">
        <f>+F160+Per_child_accounting!AD$84</f>
        <v>957.97197335230112</v>
      </c>
      <c r="G161" s="46">
        <f>+G160+Per_child_accounting!AE$84</f>
        <v>981.11853145902649</v>
      </c>
      <c r="H161" s="46">
        <f>+H160+Per_child_accounting!AF$84</f>
        <v>1023.2061075100194</v>
      </c>
      <c r="I161" s="46">
        <f>+I160+Per_child_accounting!AG$84</f>
        <v>1081.3303609980542</v>
      </c>
      <c r="J161" s="46">
        <f>+J160+Per_child_accounting!AH$84</f>
        <v>1165.7462456202593</v>
      </c>
      <c r="K161" s="46">
        <f>+K160+Per_child_accounting!AI$84</f>
        <v>1237.3999768319115</v>
      </c>
      <c r="L161" s="46">
        <f>+L160+Per_child_accounting!AJ$84</f>
        <v>1323.4856743434184</v>
      </c>
      <c r="M161" s="46">
        <f>+M160+Per_child_accounting!AK$84</f>
        <v>1369.0623361153473</v>
      </c>
      <c r="N161" s="46">
        <f>+N160+Per_child_accounting!AL$84</f>
        <v>1422.3453176939718</v>
      </c>
      <c r="O161" s="46">
        <f>+O160+Per_child_accounting!AM$84</f>
        <v>1549.5924447410152</v>
      </c>
      <c r="P161" s="46">
        <f>+P160+Per_child_accounting!AN$84</f>
        <v>1700.0068581005962</v>
      </c>
      <c r="Q161" s="46">
        <f>+Q160+Per_child_accounting!AO$84</f>
        <v>1735.8586693493708</v>
      </c>
      <c r="S161" s="113"/>
      <c r="T161" s="113"/>
      <c r="U161" s="113"/>
      <c r="V161" s="113"/>
      <c r="W161" s="113"/>
      <c r="X161" s="113"/>
      <c r="Y161" s="113"/>
      <c r="Z161" s="113"/>
      <c r="AA161" s="113"/>
      <c r="AB161" s="113"/>
      <c r="AC161" s="113"/>
      <c r="AD161" s="113"/>
      <c r="AE161" s="113"/>
      <c r="AF161" s="113"/>
      <c r="AG161" s="113"/>
      <c r="AH161" s="113"/>
      <c r="AI161" s="113"/>
      <c r="AJ161" s="113"/>
      <c r="AK161" s="113"/>
      <c r="AL161" s="113"/>
      <c r="AM161" s="113"/>
      <c r="AN161" s="113"/>
    </row>
    <row r="162" spans="1:40" x14ac:dyDescent="0.2">
      <c r="D162" s="46"/>
      <c r="E162" s="46"/>
      <c r="F162" s="46"/>
      <c r="G162" s="46"/>
      <c r="H162" s="46"/>
      <c r="I162" s="46"/>
      <c r="J162" s="46"/>
      <c r="K162" s="46"/>
      <c r="L162" s="46"/>
      <c r="M162" s="46"/>
      <c r="N162" s="46"/>
      <c r="O162" s="46"/>
      <c r="P162" s="46"/>
      <c r="Q162" s="46"/>
      <c r="S162" s="113"/>
      <c r="T162" s="113"/>
      <c r="U162" s="113"/>
      <c r="V162" s="113"/>
      <c r="W162" s="113"/>
      <c r="X162" s="113"/>
      <c r="Y162" s="113"/>
      <c r="Z162" s="113"/>
      <c r="AA162" s="113"/>
      <c r="AB162" s="113"/>
      <c r="AC162" s="113"/>
      <c r="AD162" s="113"/>
      <c r="AE162" s="113"/>
      <c r="AF162" s="113"/>
      <c r="AG162" s="113"/>
      <c r="AH162" s="113"/>
      <c r="AI162" s="113"/>
      <c r="AJ162" s="113"/>
      <c r="AK162" s="113"/>
      <c r="AL162" s="113"/>
      <c r="AM162" s="113"/>
      <c r="AN162" s="113"/>
    </row>
    <row r="163" spans="1:40" ht="28.5" x14ac:dyDescent="0.45">
      <c r="A163" s="368" t="s">
        <v>234</v>
      </c>
      <c r="B163" s="368"/>
      <c r="C163" s="368"/>
      <c r="D163" s="46"/>
      <c r="E163" s="46"/>
      <c r="F163" s="46"/>
      <c r="G163" s="46"/>
      <c r="H163" s="46"/>
      <c r="I163" s="46"/>
      <c r="J163" s="46"/>
      <c r="K163" s="46"/>
      <c r="L163" s="46"/>
      <c r="M163" s="46"/>
      <c r="N163" s="46"/>
      <c r="O163" s="46"/>
      <c r="P163" s="46"/>
      <c r="Q163" s="46"/>
      <c r="S163" s="113"/>
      <c r="T163" s="113"/>
      <c r="U163" s="113"/>
      <c r="V163" s="113"/>
      <c r="W163" s="113"/>
      <c r="X163" s="113"/>
      <c r="Y163" s="113"/>
      <c r="Z163" s="113"/>
      <c r="AA163" s="113"/>
      <c r="AB163" s="113"/>
      <c r="AC163" s="113"/>
      <c r="AD163" s="113"/>
      <c r="AE163" s="113"/>
      <c r="AF163" s="113"/>
      <c r="AG163" s="113"/>
      <c r="AH163" s="113"/>
      <c r="AI163" s="113"/>
      <c r="AJ163" s="113"/>
      <c r="AK163" s="113"/>
      <c r="AL163" s="113"/>
      <c r="AM163" s="113"/>
      <c r="AN163" s="113"/>
    </row>
    <row r="164" spans="1:40" x14ac:dyDescent="0.2">
      <c r="A164" t="s">
        <v>1085</v>
      </c>
      <c r="B164" s="86" t="s">
        <v>1086</v>
      </c>
      <c r="C164" t="str">
        <f>+CONCATENATE(A$163,B164)</f>
        <v>Perth2+0</v>
      </c>
      <c r="D164" s="46">
        <f>IF(+DropINTable!AB123=0,DropINTable!AC123,DropINTable!AB123)</f>
        <v>570.40886846978628</v>
      </c>
      <c r="E164" s="46">
        <f>IF(+DropINTable!AC123=0,DropINTable!AD123,DropINTable!AC123)</f>
        <v>570.40886846978628</v>
      </c>
      <c r="F164" s="46">
        <f>IF(+DropINTable!AD123=0,DropINTable!AE123,DropINTable!AD123)</f>
        <v>586.7139719792076</v>
      </c>
      <c r="G164" s="46">
        <f>IF(+DropINTable!AE123=0,DropINTable!AF123,DropINTable!AE123)</f>
        <v>610.64788738165271</v>
      </c>
      <c r="H164" s="46">
        <f>IF(+DropINTable!AF123=0,DropINTable!AG123,DropINTable!AF123)</f>
        <v>654.16712089542568</v>
      </c>
      <c r="I164" s="46">
        <f>IF(+DropINTable!AG123=0,DropINTable!AH123,DropINTable!AG123)</f>
        <v>714.26853036756097</v>
      </c>
      <c r="J164" s="46">
        <f>IF(+DropINTable!AH123=0,DropINTable!AI123,DropINTable!AH123)</f>
        <v>801.55591835971336</v>
      </c>
      <c r="K164" s="46">
        <f>IF(+DropINTable!AI123=0,DropINTable!AJ123,DropINTable!AI123)</f>
        <v>875.64702792634375</v>
      </c>
      <c r="L164" s="46">
        <f>IF(+DropINTable!AJ123=0,DropINTable!AK123,DropINTable!AJ123)</f>
        <v>964.66102822145683</v>
      </c>
      <c r="M164" s="46">
        <f>IF(+DropINTable!AK123=0,DropINTable!AL123,DropINTable!AK123)</f>
        <v>1011.7880276470939</v>
      </c>
      <c r="N164" s="46">
        <f>IF(+DropINTable!AL123=0,DropINTable!AM123,DropINTable!AL123)</f>
        <v>1066.8834924611001</v>
      </c>
      <c r="O164" s="46">
        <f>IF(+DropINTable!AM123=0,DropINTable!AN123,DropINTable!AM123)</f>
        <v>1198.4590607324906</v>
      </c>
      <c r="P164" s="46">
        <f>IF(+DropINTable!AN123=0,DropINTable!AO123,DropINTable!AN123)</f>
        <v>1353.9899939727709</v>
      </c>
      <c r="Q164" s="46">
        <f>IF(+DropINTable!AO123=0,DropINTable!AP123,DropINTable!AO123)</f>
        <v>1391.0613545913454</v>
      </c>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c r="AN164" s="113"/>
    </row>
    <row r="165" spans="1:40" x14ac:dyDescent="0.2">
      <c r="A165" t="s">
        <v>1087</v>
      </c>
      <c r="B165" s="86" t="s">
        <v>1088</v>
      </c>
      <c r="C165" t="str">
        <f t="shared" ref="C165:C175" si="55">+CONCATENATE(A$163,B165)</f>
        <v>Perth2+1</v>
      </c>
      <c r="D165" s="46">
        <f t="shared" ref="D165:D166" si="56">+E165</f>
        <v>681.43318931617068</v>
      </c>
      <c r="E165" s="46">
        <f>IF(+DropINTable!AC124=0,DropINTable!AD124,DropINTable!AC124)</f>
        <v>681.43318931617068</v>
      </c>
      <c r="F165" s="46">
        <f>IF(+DropINTable!AD124=0,DropINTable!AE124,DropINTable!AD124)</f>
        <v>681.43318931617068</v>
      </c>
      <c r="G165" s="46">
        <f>IF(+DropINTable!AE124=0,DropINTable!AF124,DropINTable!AE124)</f>
        <v>705.34439370082862</v>
      </c>
      <c r="H165" s="46">
        <f>IF(+DropINTable!AF124=0,DropINTable!AG124,DropINTable!AF124)</f>
        <v>748.82232917726515</v>
      </c>
      <c r="I165" s="46">
        <f>IF(+DropINTable!AG124=0,DropINTable!AH124,DropINTable!AG124)</f>
        <v>808.86670538350245</v>
      </c>
      <c r="J165" s="46">
        <f>IF(+DropINTable!AH124=0,DropINTable!AI124,DropINTable!AH124)</f>
        <v>896.07126417629775</v>
      </c>
      <c r="K165" s="46">
        <f>IF(+DropINTable!AI124=0,DropINTable!AJ124,DropINTable!AI124)</f>
        <v>970.09206267763284</v>
      </c>
      <c r="L165" s="46">
        <f>IF(+DropINTable!AJ124=0,DropINTable!AK124,DropINTable!AJ124)</f>
        <v>1059.0215974144892</v>
      </c>
      <c r="M165" s="46">
        <f>IF(+DropINTable!AK124=0,DropINTable!AL124,DropINTable!AK124)</f>
        <v>1106.1038747760638</v>
      </c>
      <c r="N165" s="46">
        <f>IF(+DropINTable!AL124=0,DropINTable!AM124,DropINTable!AL124)</f>
        <v>1161.1470570943513</v>
      </c>
      <c r="O165" s="46">
        <f>IF(+DropINTable!AM124=0,DropINTable!AN124,DropINTable!AM124)</f>
        <v>1292.5977663503763</v>
      </c>
      <c r="P165" s="46">
        <f>IF(+DropINTable!AN124=0,DropINTable!AO124,DropINTable!AN124)</f>
        <v>1447.9811095910759</v>
      </c>
      <c r="Q165" s="46">
        <f>IF(+DropINTable!AO124=0,DropINTable!AP124,DropINTable!AO124)</f>
        <v>1485.0172909253217</v>
      </c>
      <c r="S165" s="113"/>
      <c r="T165" s="113"/>
      <c r="U165" s="113"/>
      <c r="V165" s="113"/>
      <c r="W165" s="113"/>
      <c r="X165" s="113"/>
      <c r="Y165" s="113"/>
      <c r="Z165" s="113"/>
      <c r="AA165" s="113"/>
      <c r="AB165" s="113"/>
      <c r="AC165" s="113"/>
      <c r="AD165" s="113"/>
      <c r="AE165" s="113"/>
      <c r="AF165" s="113"/>
      <c r="AG165" s="113"/>
      <c r="AH165" s="113"/>
      <c r="AI165" s="113"/>
      <c r="AJ165" s="113"/>
      <c r="AK165" s="113"/>
      <c r="AL165" s="113"/>
      <c r="AM165" s="113"/>
      <c r="AN165" s="113"/>
    </row>
    <row r="166" spans="1:40" x14ac:dyDescent="0.2">
      <c r="A166" t="s">
        <v>1089</v>
      </c>
      <c r="B166" s="86" t="s">
        <v>1090</v>
      </c>
      <c r="C166" t="str">
        <f t="shared" si="55"/>
        <v>Perth2+2</v>
      </c>
      <c r="D166" s="46">
        <f t="shared" si="56"/>
        <v>759.53048324384054</v>
      </c>
      <c r="E166" s="46">
        <f>IF(+DropINTable!AC125=0,DropINTable!AD125,DropINTable!AC125)</f>
        <v>759.53048324384054</v>
      </c>
      <c r="F166" s="46">
        <f>IF(+DropINTable!AD125=0,DropINTable!AE125,DropINTable!AD125)</f>
        <v>759.53048324384054</v>
      </c>
      <c r="G166" s="46">
        <f>IF(+DropINTable!AE125=0,DropINTable!AF125,DropINTable!AE125)</f>
        <v>783.53485330279602</v>
      </c>
      <c r="H166" s="46">
        <f>IF(+DropINTable!AF125=0,DropINTable!AG125,DropINTable!AF125)</f>
        <v>827.1821965245224</v>
      </c>
      <c r="I166" s="46">
        <f>IF(+DropINTable!AG125=0,DropINTable!AH125,DropINTable!AG125)</f>
        <v>887.4605303306746</v>
      </c>
      <c r="J166" s="46">
        <f>IF(+DropINTable!AH125=0,DropINTable!AI125,DropINTable!AH125)</f>
        <v>975.00486953258508</v>
      </c>
      <c r="K166" s="46">
        <f>IF(+DropINTable!AI125=0,DropINTable!AJ125,DropINTable!AI125)</f>
        <v>1049.3140843683077</v>
      </c>
      <c r="L166" s="46">
        <f>IF(+DropINTable!AJ125=0,DropINTable!AK125,DropINTable!AJ125)</f>
        <v>1138.5901179758905</v>
      </c>
      <c r="M166" s="46">
        <f>IF(+DropINTable!AK125=0,DropINTable!AL125,DropINTable!AK125)</f>
        <v>1185.855849249486</v>
      </c>
      <c r="N166" s="46">
        <f>IF(+DropINTable!AL125=0,DropINTable!AM125,DropINTable!AL125)</f>
        <v>1241.1135009637317</v>
      </c>
      <c r="O166" s="46">
        <f>IF(+DropINTable!AM125=0,DropINTable!AN125,DropINTable!AM125)</f>
        <v>1373.0763939812912</v>
      </c>
      <c r="P166" s="46">
        <f>IF(+DropINTable!AN125=0,DropINTable!AO125,DropINTable!AN125)</f>
        <v>1529.0651702972918</v>
      </c>
      <c r="Q166" s="46">
        <f>IF(+DropINTable!AO125=0,DropINTable!AP125,DropINTable!AO125)</f>
        <v>1566.2456596025349</v>
      </c>
      <c r="S166" s="113"/>
      <c r="T166" s="113"/>
      <c r="U166" s="113"/>
      <c r="V166" s="113"/>
      <c r="W166" s="113"/>
      <c r="X166" s="113"/>
      <c r="Y166" s="113"/>
      <c r="Z166" s="113"/>
      <c r="AA166" s="113"/>
      <c r="AB166" s="113"/>
      <c r="AC166" s="113"/>
      <c r="AD166" s="113"/>
      <c r="AE166" s="113"/>
      <c r="AF166" s="113"/>
      <c r="AG166" s="113"/>
      <c r="AH166" s="113"/>
      <c r="AI166" s="113"/>
      <c r="AJ166" s="113"/>
      <c r="AK166" s="113"/>
      <c r="AL166" s="113"/>
      <c r="AM166" s="113"/>
      <c r="AN166" s="113"/>
    </row>
    <row r="167" spans="1:40" x14ac:dyDescent="0.2">
      <c r="A167" t="s">
        <v>1091</v>
      </c>
      <c r="B167" s="86" t="s">
        <v>1092</v>
      </c>
      <c r="C167" t="str">
        <f t="shared" si="55"/>
        <v>Perth2+3</v>
      </c>
      <c r="D167" s="46">
        <f t="shared" ref="D167" si="57">+F167</f>
        <v>852.42725779536943</v>
      </c>
      <c r="E167" s="46">
        <f>+F167</f>
        <v>852.42725779536943</v>
      </c>
      <c r="F167" s="46">
        <f>IF(+DropINTable!AD126=0,DropINTable!AE126,DropINTable!AD126)</f>
        <v>852.42725779536943</v>
      </c>
      <c r="G167" s="46">
        <f>IF(+DropINTable!AE126=0,DropINTable!AF126,DropINTable!AE126)</f>
        <v>852.42725779536943</v>
      </c>
      <c r="H167" s="46">
        <f>IF(+DropINTable!AF126=0,DropINTable!AG126,DropINTable!AF126)</f>
        <v>896.22307296667577</v>
      </c>
      <c r="I167" s="46">
        <f>IF(+DropINTable!AG126=0,DropINTable!AH126,DropINTable!AG126)</f>
        <v>956.70645012323439</v>
      </c>
      <c r="J167" s="46">
        <f>IF(+DropINTable!AH126=0,DropINTable!AI126,DropINTable!AH126)</f>
        <v>1044.5485867768234</v>
      </c>
      <c r="K167" s="46">
        <f>IF(+DropINTable!AI126=0,DropINTable!AJ126,DropINTable!AI126)</f>
        <v>1119.1105721597955</v>
      </c>
      <c r="L167" s="46">
        <f>IF(+DropINTable!AJ126=0,DropINTable!AK126,DropINTable!AJ126)</f>
        <v>1208.6902916260603</v>
      </c>
      <c r="M167" s="46">
        <f>IF(+DropINTable!AK126=0,DropINTable!AL126,DropINTable!AK126)</f>
        <v>1256.1168034832494</v>
      </c>
      <c r="N167" s="46">
        <f>IF(+DropINTable!AL126=0,DropINTable!AM126,DropINTable!AL126)</f>
        <v>1311.5624213424994</v>
      </c>
      <c r="O167" s="46">
        <f>IF(+DropINTable!AM126=0,DropINTable!AN126,DropINTable!AM126)</f>
        <v>1443.9742046163676</v>
      </c>
      <c r="P167" s="46">
        <f>IF(+DropINTable!AN126=0,DropINTable!AO126,DropINTable!AN126)</f>
        <v>1600.4936014507748</v>
      </c>
      <c r="Q167" s="46">
        <f>IF(+DropINTable!AO126=0,DropINTable!AP126,DropINTable!AO126)</f>
        <v>1637.8005623172942</v>
      </c>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row>
    <row r="168" spans="1:40" x14ac:dyDescent="0.2">
      <c r="B168" s="86" t="s">
        <v>1093</v>
      </c>
      <c r="C168" t="str">
        <f t="shared" ref="C168:C170" si="58">+CONCATENATE(A$163,B168)</f>
        <v>Perth2+4</v>
      </c>
      <c r="D168" s="46">
        <f>+D167+Per_child_accounting!$AD$89</f>
        <v>947.14647513233251</v>
      </c>
      <c r="E168" s="46">
        <f>+E167+Per_child_accounting!$AD$89</f>
        <v>947.14647513233251</v>
      </c>
      <c r="F168" s="46">
        <f>+F167+Per_child_accounting!AD$89</f>
        <v>947.14647513233251</v>
      </c>
      <c r="G168" s="46">
        <f>+G167+Per_child_accounting!AE$89</f>
        <v>947.12376411454534</v>
      </c>
      <c r="H168" s="46">
        <f>+H167+Per_child_accounting!AF$89</f>
        <v>990.87828124851524</v>
      </c>
      <c r="I168" s="46">
        <f>+I167+Per_child_accounting!AG$89</f>
        <v>1051.3046251391759</v>
      </c>
      <c r="J168" s="46">
        <f>+J167+Per_child_accounting!AH$89</f>
        <v>1139.0639325934078</v>
      </c>
      <c r="K168" s="46">
        <f>+K167+Per_child_accounting!AI$89</f>
        <v>1213.5556069110846</v>
      </c>
      <c r="L168" s="46">
        <f>+L167+Per_child_accounting!AJ$89</f>
        <v>1303.0508608190926</v>
      </c>
      <c r="M168" s="46">
        <f>+M167+Per_child_accounting!AK$89</f>
        <v>1350.4326506122193</v>
      </c>
      <c r="N168" s="46">
        <f>+N167+Per_child_accounting!AL$89</f>
        <v>1405.8259859757507</v>
      </c>
      <c r="O168" s="46">
        <f>+O167+Per_child_accounting!AM$89</f>
        <v>1538.1129102342534</v>
      </c>
      <c r="P168" s="46">
        <f>+P167+Per_child_accounting!AN$89</f>
        <v>1694.4847170690798</v>
      </c>
      <c r="Q168" s="46">
        <f>+Q167+Per_child_accounting!AO$89</f>
        <v>1731.7564986512705</v>
      </c>
      <c r="S168" s="113"/>
      <c r="T168" s="113"/>
      <c r="U168" s="113"/>
      <c r="V168" s="113"/>
      <c r="W168" s="113"/>
      <c r="X168" s="113"/>
      <c r="Y168" s="113"/>
      <c r="Z168" s="113"/>
      <c r="AA168" s="113"/>
      <c r="AB168" s="113"/>
      <c r="AC168" s="113"/>
      <c r="AD168" s="113"/>
      <c r="AE168" s="113"/>
      <c r="AF168" s="113"/>
      <c r="AG168" s="113"/>
      <c r="AH168" s="113"/>
      <c r="AI168" s="113"/>
      <c r="AJ168" s="113"/>
      <c r="AK168" s="113"/>
      <c r="AL168" s="113"/>
      <c r="AM168" s="113"/>
      <c r="AN168" s="113"/>
    </row>
    <row r="169" spans="1:40" x14ac:dyDescent="0.2">
      <c r="B169" s="86" t="s">
        <v>1094</v>
      </c>
      <c r="C169" t="str">
        <f t="shared" si="58"/>
        <v>Perth2+5</v>
      </c>
      <c r="D169" s="46">
        <f>+D168+Per_child_accounting!$AD$89</f>
        <v>1041.8656924692955</v>
      </c>
      <c r="E169" s="46">
        <f>+E168+Per_child_accounting!$AD$89</f>
        <v>1041.8656924692955</v>
      </c>
      <c r="F169" s="46">
        <f>+F168+Per_child_accounting!$AD$89</f>
        <v>1041.8656924692955</v>
      </c>
      <c r="G169" s="46">
        <f>+G168+Per_child_accounting!AE$89</f>
        <v>1041.8202704337214</v>
      </c>
      <c r="H169" s="46">
        <f>+H168+Per_child_accounting!AF$89</f>
        <v>1085.5334895303547</v>
      </c>
      <c r="I169" s="46">
        <f>+I168+Per_child_accounting!AG$89</f>
        <v>1145.9028001551173</v>
      </c>
      <c r="J169" s="46">
        <f>+J168+Per_child_accounting!AH$89</f>
        <v>1233.5792784099922</v>
      </c>
      <c r="K169" s="46">
        <f>+K168+Per_child_accounting!AI$89</f>
        <v>1308.0006416623737</v>
      </c>
      <c r="L169" s="46">
        <f>+L168+Per_child_accounting!AJ$89</f>
        <v>1397.411430012125</v>
      </c>
      <c r="M169" s="46">
        <f>+M168+Per_child_accounting!AK$89</f>
        <v>1444.7484977411891</v>
      </c>
      <c r="N169" s="46">
        <f>+N168+Per_child_accounting!AL$89</f>
        <v>1500.0895506090019</v>
      </c>
      <c r="O169" s="46">
        <f>+O168+Per_child_accounting!AM$89</f>
        <v>1632.2516158521391</v>
      </c>
      <c r="P169" s="46">
        <f>+P168+Per_child_accounting!AN$89</f>
        <v>1788.4758326873848</v>
      </c>
      <c r="Q169" s="46">
        <f>+Q168+Per_child_accounting!AO$89</f>
        <v>1825.7124349852468</v>
      </c>
      <c r="S169" s="113"/>
      <c r="T169" s="113"/>
      <c r="U169" s="113"/>
      <c r="V169" s="113"/>
      <c r="W169" s="113"/>
      <c r="X169" s="113"/>
      <c r="Y169" s="113"/>
      <c r="Z169" s="113"/>
      <c r="AA169" s="113"/>
      <c r="AB169" s="113"/>
      <c r="AC169" s="113"/>
      <c r="AD169" s="113"/>
      <c r="AE169" s="113"/>
      <c r="AF169" s="113"/>
      <c r="AG169" s="113"/>
      <c r="AH169" s="113"/>
      <c r="AI169" s="113"/>
      <c r="AJ169" s="113"/>
      <c r="AK169" s="113"/>
      <c r="AL169" s="113"/>
      <c r="AM169" s="113"/>
      <c r="AN169" s="113"/>
    </row>
    <row r="170" spans="1:40" x14ac:dyDescent="0.2">
      <c r="B170" s="86" t="s">
        <v>1095</v>
      </c>
      <c r="C170" t="str">
        <f t="shared" si="58"/>
        <v>Perth2+6</v>
      </c>
      <c r="D170" s="46">
        <f>+D169+Per_child_accounting!$AD$89</f>
        <v>1136.5849098062586</v>
      </c>
      <c r="E170" s="46">
        <f>+E169+Per_child_accounting!$AD$89</f>
        <v>1136.5849098062586</v>
      </c>
      <c r="F170" s="46">
        <f>+F169+Per_child_accounting!$AD$89</f>
        <v>1136.5849098062586</v>
      </c>
      <c r="G170" s="46">
        <f>+G169+Per_child_accounting!AE$89</f>
        <v>1136.5167767528974</v>
      </c>
      <c r="H170" s="46">
        <f>+H169+Per_child_accounting!AF$89</f>
        <v>1180.1886978121943</v>
      </c>
      <c r="I170" s="46">
        <f>+I169+Per_child_accounting!AG$89</f>
        <v>1240.5009751710588</v>
      </c>
      <c r="J170" s="46">
        <f>+J169+Per_child_accounting!AH$89</f>
        <v>1328.0946242265766</v>
      </c>
      <c r="K170" s="46">
        <f>+K169+Per_child_accounting!AI$89</f>
        <v>1402.4456764136628</v>
      </c>
      <c r="L170" s="46">
        <f>+L169+Per_child_accounting!AJ$89</f>
        <v>1491.7719992051575</v>
      </c>
      <c r="M170" s="46">
        <f>+M169+Per_child_accounting!AK$89</f>
        <v>1539.0643448701589</v>
      </c>
      <c r="N170" s="46">
        <f>+N169+Per_child_accounting!AL$89</f>
        <v>1594.3531152422531</v>
      </c>
      <c r="O170" s="46">
        <f>+O169+Per_child_accounting!AM$89</f>
        <v>1726.3903214700249</v>
      </c>
      <c r="P170" s="46">
        <f>+P169+Per_child_accounting!AN$89</f>
        <v>1882.4669483056898</v>
      </c>
      <c r="Q170" s="46">
        <f>+Q169+Per_child_accounting!AO$89</f>
        <v>1919.6683713192231</v>
      </c>
      <c r="S170" s="113"/>
      <c r="T170" s="113"/>
      <c r="U170" s="113"/>
      <c r="V170" s="113"/>
      <c r="W170" s="113"/>
      <c r="X170" s="113"/>
      <c r="Y170" s="113"/>
      <c r="Z170" s="113"/>
      <c r="AA170" s="113"/>
      <c r="AB170" s="113"/>
      <c r="AC170" s="113"/>
      <c r="AD170" s="113"/>
      <c r="AE170" s="113"/>
      <c r="AF170" s="113"/>
      <c r="AG170" s="113"/>
      <c r="AH170" s="113"/>
      <c r="AI170" s="113"/>
      <c r="AJ170" s="113"/>
      <c r="AK170" s="113"/>
      <c r="AL170" s="113"/>
      <c r="AM170" s="113"/>
      <c r="AN170" s="113"/>
    </row>
    <row r="171" spans="1:40" x14ac:dyDescent="0.2">
      <c r="B171" s="86"/>
      <c r="D171" s="46"/>
      <c r="E171" s="46"/>
      <c r="F171" s="46"/>
      <c r="G171" s="46"/>
      <c r="H171" s="46"/>
      <c r="I171" s="46"/>
      <c r="J171" s="46"/>
      <c r="K171" s="46"/>
      <c r="L171" s="46"/>
      <c r="M171" s="46"/>
      <c r="N171" s="46"/>
      <c r="O171" s="46"/>
      <c r="P171" s="46"/>
      <c r="Q171" s="46"/>
      <c r="S171" s="113"/>
      <c r="T171" s="113"/>
      <c r="U171" s="113"/>
      <c r="V171" s="113"/>
      <c r="W171" s="113"/>
      <c r="X171" s="113"/>
      <c r="Y171" s="113"/>
      <c r="Z171" s="113"/>
      <c r="AA171" s="113"/>
      <c r="AB171" s="113"/>
      <c r="AC171" s="113"/>
      <c r="AD171" s="113"/>
      <c r="AE171" s="113"/>
      <c r="AF171" s="113"/>
      <c r="AG171" s="113"/>
      <c r="AH171" s="113"/>
      <c r="AI171" s="113"/>
      <c r="AJ171" s="113"/>
      <c r="AK171" s="113"/>
      <c r="AL171" s="113"/>
      <c r="AM171" s="113"/>
      <c r="AN171" s="113"/>
    </row>
    <row r="172" spans="1:40" x14ac:dyDescent="0.2">
      <c r="A172" t="s">
        <v>1096</v>
      </c>
      <c r="B172" s="86" t="s">
        <v>1097</v>
      </c>
      <c r="C172" t="str">
        <f t="shared" si="55"/>
        <v>Perth1+0</v>
      </c>
      <c r="D172" s="46">
        <f>IF(+DropINTable!AB128=0,DropINTable!AC128,DropINTable!AB128)</f>
        <v>267.27911364543974</v>
      </c>
      <c r="E172" s="46">
        <f>IF(+DropINTable!AC128=0,DropINTable!AD128,DropINTable!AC128)</f>
        <v>284.42036897788637</v>
      </c>
      <c r="F172" s="46">
        <f>IF(+DropINTable!AD128=0,DropINTable!AE128,DropINTable!AD128)</f>
        <v>300.56869383299448</v>
      </c>
      <c r="G172" s="46">
        <f>IF(+DropINTable!AE128=0,DropINTable!AF128,DropINTable!AE128)</f>
        <v>324.27247638661839</v>
      </c>
      <c r="H172" s="46">
        <f>IF(+DropINTable!AF128=0,DropINTable!AG128,DropINTable!AF128)</f>
        <v>367.37325643168555</v>
      </c>
      <c r="I172" s="46">
        <f>IF(+DropINTable!AG128=0,DropINTable!AH128,DropINTable!AG128)</f>
        <v>426.89677109439668</v>
      </c>
      <c r="J172" s="46">
        <f>IF(+DropINTable!AH128=0,DropINTable!AI128,DropINTable!AH128)</f>
        <v>513.34486074837355</v>
      </c>
      <c r="K172" s="46">
        <f>IF(+DropINTable!AI128=0,DropINTable!AJ128,DropINTable!AI128)</f>
        <v>586.72355786016385</v>
      </c>
      <c r="L172" s="46">
        <f>IF(+DropINTable!AJ128=0,DropINTable!AK128,DropINTable!AJ128)</f>
        <v>674.88165904283608</v>
      </c>
      <c r="M172" s="46">
        <f>IF(+DropINTable!AK128=0,DropINTable!AL128,DropINTable!AK128)</f>
        <v>721.55551605049152</v>
      </c>
      <c r="N172" s="46">
        <f>IF(+DropINTable!AL128=0,DropINTable!AM128,DropINTable!AL128)</f>
        <v>776.12121968110478</v>
      </c>
      <c r="O172" s="46">
        <f>IF(+DropINTable!AM128=0,DropINTable!AN128,DropINTable!AM128)</f>
        <v>906.43164303376363</v>
      </c>
      <c r="P172" s="46">
        <f>IF(+DropINTable!AN128=0,DropINTable!AO128,DropINTable!AN128)</f>
        <v>1060.4670921689353</v>
      </c>
      <c r="Q172" s="46">
        <f>IF(+DropINTable!AO128=0,DropINTable!AP128,DropINTable!AO128)</f>
        <v>1097.1819990457166</v>
      </c>
      <c r="S172" s="113"/>
      <c r="T172" s="113"/>
      <c r="U172" s="113"/>
      <c r="V172" s="113"/>
      <c r="W172" s="113"/>
      <c r="X172" s="113"/>
      <c r="Y172" s="113"/>
      <c r="Z172" s="113"/>
      <c r="AA172" s="113"/>
      <c r="AB172" s="113"/>
      <c r="AC172" s="113"/>
      <c r="AD172" s="113"/>
      <c r="AE172" s="113"/>
      <c r="AF172" s="113"/>
      <c r="AG172" s="113"/>
      <c r="AH172" s="113"/>
      <c r="AI172" s="113"/>
      <c r="AJ172" s="113"/>
      <c r="AK172" s="113"/>
      <c r="AL172" s="113"/>
      <c r="AM172" s="113"/>
      <c r="AN172" s="113"/>
    </row>
    <row r="173" spans="1:40" x14ac:dyDescent="0.2">
      <c r="A173" t="s">
        <v>1098</v>
      </c>
      <c r="B173" s="86" t="s">
        <v>1099</v>
      </c>
      <c r="C173" t="str">
        <f t="shared" si="55"/>
        <v>Perth1+1</v>
      </c>
      <c r="D173" s="46">
        <f>IF(+DropINTable!AB129=0,DropINTable!AC129,DropINTable!AB129)</f>
        <v>384.30598797614198</v>
      </c>
      <c r="E173" s="46">
        <f>IF(+DropINTable!AC129=0,DropINTable!AD129,DropINTable!AC129)</f>
        <v>384.30598797614198</v>
      </c>
      <c r="F173" s="46">
        <f>IF(+DropINTable!AD129=0,DropINTable!AE129,DropINTable!AD129)</f>
        <v>400.3537758952782</v>
      </c>
      <c r="G173" s="46">
        <f>IF(+DropINTable!AE129=0,DropINTable!AF129,DropINTable!AE129)</f>
        <v>423.90998499094525</v>
      </c>
      <c r="H173" s="46">
        <f>IF(+DropINTable!AF129=0,DropINTable!AG129,DropINTable!AF129)</f>
        <v>466.74243014969403</v>
      </c>
      <c r="I173" s="46">
        <f>IF(+DropINTable!AG129=0,DropINTable!AH129,DropINTable!AG129)</f>
        <v>525.8953646639942</v>
      </c>
      <c r="J173" s="46">
        <f>IF(+DropINTable!AH129=0,DropINTable!AI129,DropINTable!AH129)</f>
        <v>611.80525110091821</v>
      </c>
      <c r="K173" s="46">
        <f>IF(+DropINTable!AI129=0,DropINTable!AJ129,DropINTable!AI129)</f>
        <v>684.72710869564639</v>
      </c>
      <c r="L173" s="46">
        <f>IF(+DropINTable!AJ129=0,DropINTable!AK129,DropINTable!AJ129)</f>
        <v>772.33635918396442</v>
      </c>
      <c r="M173" s="46">
        <f>IF(+DropINTable!AK129=0,DropINTable!AL129,DropINTable!AK129)</f>
        <v>818.71963413975561</v>
      </c>
      <c r="N173" s="46">
        <f>IF(+DropINTable!AL129=0,DropINTable!AM129,DropINTable!AL129)</f>
        <v>872.94562668748165</v>
      </c>
      <c r="O173" s="46">
        <f>IF(+DropINTable!AM129=0,DropINTable!AN129,DropINTable!AM129)</f>
        <v>1002.4447674056906</v>
      </c>
      <c r="P173" s="46">
        <f>IF(+DropINTable!AN129=0,DropINTable!AO129,DropINTable!AN129)</f>
        <v>1155.5212307744659</v>
      </c>
      <c r="Q173" s="46">
        <f>IF(+DropINTable!AO129=0,DropINTable!AP129,DropINTable!AO129)</f>
        <v>1192.0075576481395</v>
      </c>
      <c r="S173" s="113"/>
      <c r="T173" s="113"/>
      <c r="U173" s="113"/>
      <c r="V173" s="113"/>
      <c r="W173" s="113"/>
      <c r="X173" s="113"/>
      <c r="Y173" s="113"/>
      <c r="Z173" s="113"/>
      <c r="AA173" s="113"/>
      <c r="AB173" s="113"/>
      <c r="AC173" s="113"/>
      <c r="AD173" s="113"/>
      <c r="AE173" s="113"/>
      <c r="AF173" s="113"/>
      <c r="AG173" s="113"/>
      <c r="AH173" s="113"/>
      <c r="AI173" s="113"/>
      <c r="AJ173" s="113"/>
      <c r="AK173" s="113"/>
      <c r="AL173" s="113"/>
      <c r="AM173" s="113"/>
      <c r="AN173" s="113"/>
    </row>
    <row r="174" spans="1:40" x14ac:dyDescent="0.2">
      <c r="A174" t="s">
        <v>1100</v>
      </c>
      <c r="B174" s="86" t="s">
        <v>1101</v>
      </c>
      <c r="C174" t="str">
        <f t="shared" si="55"/>
        <v>Perth1+2</v>
      </c>
      <c r="D174" s="46">
        <f>IF(+DropINTable!AB130=0,DropINTable!AC130,DropINTable!AB130)</f>
        <v>502.02292758047525</v>
      </c>
      <c r="E174" s="46">
        <f>IF(+DropINTable!AC130=0,DropINTable!AD130,DropINTable!AC130)</f>
        <v>502.02292758047525</v>
      </c>
      <c r="F174" s="46">
        <f>IF(+DropINTable!AD130=0,DropINTable!AE130,DropINTable!AD130)</f>
        <v>518.08198171231561</v>
      </c>
      <c r="G174" s="46">
        <f>IF(+DropINTable!AE130=0,DropINTable!AF130,DropINTable!AE130)</f>
        <v>541.65472789874605</v>
      </c>
      <c r="H174" s="46">
        <f>IF(+DropINTable!AF130=0,DropINTable!AG130,DropINTable!AF130)</f>
        <v>584.51724158399793</v>
      </c>
      <c r="I174" s="46">
        <f>IF(+DropINTable!AG130=0,DropINTable!AH130,DropINTable!AG130)</f>
        <v>643.71170266296951</v>
      </c>
      <c r="J174" s="46">
        <f>IF(+DropINTable!AH130=0,DropINTable!AI130,DropINTable!AH130)</f>
        <v>729.68189711539924</v>
      </c>
      <c r="K174" s="46">
        <f>IF(+DropINTable!AI130=0,DropINTable!AJ130,DropINTable!AI130)</f>
        <v>802.65494731735498</v>
      </c>
      <c r="L174" s="46">
        <f>IF(+DropINTable!AJ130=0,DropINTable!AK130,DropINTable!AJ130)</f>
        <v>890.32569637525512</v>
      </c>
      <c r="M174" s="46">
        <f>IF(+DropINTable!AK130=0,DropINTable!AL130,DropINTable!AK130)</f>
        <v>936.74153631115678</v>
      </c>
      <c r="N174" s="46">
        <f>IF(+DropINTable!AL130=0,DropINTable!AM130,DropINTable!AL130)</f>
        <v>991.00559558275881</v>
      </c>
      <c r="O174" s="46">
        <f>IF(+DropINTable!AM130=0,DropINTable!AN130,DropINTable!AM130)</f>
        <v>1120.5956415003125</v>
      </c>
      <c r="P174" s="46">
        <f>IF(+DropINTable!AN130=0,DropINTable!AO130,DropINTable!AN130)</f>
        <v>1273.7795616920657</v>
      </c>
      <c r="Q174" s="46">
        <f>IF(+DropINTable!AO130=0,DropINTable!AP130,DropINTable!AO130)</f>
        <v>1310.2915071114041</v>
      </c>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row>
    <row r="175" spans="1:40" x14ac:dyDescent="0.2">
      <c r="A175" t="s">
        <v>1102</v>
      </c>
      <c r="B175" s="86" t="s">
        <v>1103</v>
      </c>
      <c r="C175" t="str">
        <f t="shared" si="55"/>
        <v>Perth1+3</v>
      </c>
      <c r="D175" s="46">
        <f t="shared" ref="D175" si="59">+E175</f>
        <v>635.81018752935302</v>
      </c>
      <c r="E175" s="46">
        <f>IF(+DropINTable!AC131=0,DropINTable!AD131,DropINTable!AC131)</f>
        <v>635.81018752935302</v>
      </c>
      <c r="F175" s="46">
        <f>IF(+DropINTable!AD131=0,DropINTable!AE131,DropINTable!AD131)</f>
        <v>635.81018752935302</v>
      </c>
      <c r="G175" s="46">
        <f>IF(+DropINTable!AE131=0,DropINTable!AF131,DropINTable!AE131)</f>
        <v>659.39947080654679</v>
      </c>
      <c r="H175" s="46">
        <f>IF(+DropINTable!AF131=0,DropINTable!AG131,DropINTable!AF131)</f>
        <v>702.29205301830189</v>
      </c>
      <c r="I175" s="46">
        <f>IF(+DropINTable!AG131=0,DropINTable!AH131,DropINTable!AG131)</f>
        <v>761.52804066194483</v>
      </c>
      <c r="J175" s="46">
        <f>IF(+DropINTable!AH131=0,DropINTable!AI131,DropINTable!AH131)</f>
        <v>847.55854312988026</v>
      </c>
      <c r="K175" s="46">
        <f>IF(+DropINTable!AI131=0,DropINTable!AJ131,DropINTable!AI131)</f>
        <v>920.58278593906357</v>
      </c>
      <c r="L175" s="46">
        <f>IF(+DropINTable!AJ131=0,DropINTable!AK131,DropINTable!AJ131)</f>
        <v>1008.3150335665458</v>
      </c>
      <c r="M175" s="46">
        <f>IF(+DropINTable!AK131=0,DropINTable!AL131,DropINTable!AK131)</f>
        <v>1054.7634384825578</v>
      </c>
      <c r="N175" s="46">
        <f>IF(+DropINTable!AL131=0,DropINTable!AM131,DropINTable!AL131)</f>
        <v>1109.0655644780359</v>
      </c>
      <c r="O175" s="46">
        <f>IF(+DropINTable!AM131=0,DropINTable!AN131,DropINTable!AM131)</f>
        <v>1238.7465155949344</v>
      </c>
      <c r="P175" s="46">
        <f>IF(+DropINTable!AN131=0,DropINTable!AO131,DropINTable!AN131)</f>
        <v>1392.0378926096655</v>
      </c>
      <c r="Q175" s="46">
        <f>IF(+DropINTable!AO131=0,DropINTable!AP131,DropINTable!AO131)</f>
        <v>1428.5754565746688</v>
      </c>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row>
    <row r="176" spans="1:40" x14ac:dyDescent="0.2">
      <c r="B176" s="86" t="s">
        <v>1104</v>
      </c>
      <c r="C176" t="str">
        <f t="shared" ref="C176:C178" si="60">+CONCATENATE(A$163,B176)</f>
        <v>Perth1+4</v>
      </c>
      <c r="D176" s="46">
        <f>+D175+Per_child_accounting!AC$92</f>
        <v>735.69580652760862</v>
      </c>
      <c r="E176" s="46">
        <f>+E175+Per_child_accounting!AC$92</f>
        <v>735.69580652760862</v>
      </c>
      <c r="F176" s="46">
        <f>+F175+Per_child_accounting!AD$92</f>
        <v>735.59526959163668</v>
      </c>
      <c r="G176" s="46">
        <f>+G175+Per_child_accounting!AE$92</f>
        <v>759.03697941087364</v>
      </c>
      <c r="H176" s="46">
        <f>+H175+Per_child_accounting!AF$92</f>
        <v>801.66122673631037</v>
      </c>
      <c r="I176" s="46">
        <f>+I175+Per_child_accounting!AG$92</f>
        <v>860.5266342315424</v>
      </c>
      <c r="J176" s="46">
        <f>+J175+Per_child_accounting!AH$92</f>
        <v>946.01893348242493</v>
      </c>
      <c r="K176" s="46">
        <f>+K175+Per_child_accounting!AI$92</f>
        <v>1018.5863367745461</v>
      </c>
      <c r="L176" s="46">
        <f>+L175+Per_child_accounting!AJ$92</f>
        <v>1105.7697337076743</v>
      </c>
      <c r="M176" s="46">
        <f>+M175+Per_child_accounting!AK$92</f>
        <v>1151.9275565718219</v>
      </c>
      <c r="N176" s="46">
        <f>+N175+Per_child_accounting!AL$92</f>
        <v>1205.8899714844129</v>
      </c>
      <c r="O176" s="46">
        <f>+O175+Per_child_accounting!AM$92</f>
        <v>1334.7596399668614</v>
      </c>
      <c r="P176" s="46">
        <f>+P175+Per_child_accounting!AN$92</f>
        <v>1487.0920312151961</v>
      </c>
      <c r="Q176" s="46">
        <f>+Q175+Per_child_accounting!AO$92</f>
        <v>1523.4010151770917</v>
      </c>
      <c r="S176" s="113"/>
      <c r="T176" s="113"/>
      <c r="U176" s="113"/>
      <c r="V176" s="113"/>
      <c r="W176" s="113"/>
      <c r="X176" s="113"/>
      <c r="Y176" s="113"/>
      <c r="Z176" s="113"/>
      <c r="AA176" s="113"/>
      <c r="AB176" s="113"/>
      <c r="AC176" s="113"/>
      <c r="AD176" s="113"/>
      <c r="AE176" s="113"/>
      <c r="AF176" s="113"/>
      <c r="AG176" s="113"/>
      <c r="AH176" s="113"/>
      <c r="AI176" s="113"/>
      <c r="AJ176" s="113"/>
      <c r="AK176" s="113"/>
      <c r="AL176" s="113"/>
      <c r="AM176" s="113"/>
      <c r="AN176" s="113"/>
    </row>
    <row r="177" spans="1:40" x14ac:dyDescent="0.2">
      <c r="B177" s="86" t="s">
        <v>1105</v>
      </c>
      <c r="C177" t="str">
        <f t="shared" si="60"/>
        <v>Perth1+5</v>
      </c>
      <c r="D177" s="46">
        <f>+D176+Per_child_accounting!AC$92</f>
        <v>835.58142552586423</v>
      </c>
      <c r="E177" s="46">
        <f>+E176+Per_child_accounting!AC$92</f>
        <v>835.58142552586423</v>
      </c>
      <c r="F177" s="46">
        <f>+F176+Per_child_accounting!AD$92</f>
        <v>835.38035165392034</v>
      </c>
      <c r="G177" s="46">
        <f>+G176+Per_child_accounting!AE$92</f>
        <v>858.6744880152005</v>
      </c>
      <c r="H177" s="46">
        <f>+H176+Per_child_accounting!AF$92</f>
        <v>901.03040045431885</v>
      </c>
      <c r="I177" s="46">
        <f>+I176+Per_child_accounting!AG$92</f>
        <v>959.52522780113986</v>
      </c>
      <c r="J177" s="46">
        <f>+J176+Per_child_accounting!AH$92</f>
        <v>1044.4793238349696</v>
      </c>
      <c r="K177" s="46">
        <f>+K176+Per_child_accounting!AI$92</f>
        <v>1116.5898876100287</v>
      </c>
      <c r="L177" s="46">
        <f>+L176+Per_child_accounting!AJ$92</f>
        <v>1203.2244338488026</v>
      </c>
      <c r="M177" s="46">
        <f>+M176+Per_child_accounting!AK$92</f>
        <v>1249.091674661086</v>
      </c>
      <c r="N177" s="46">
        <f>+N176+Per_child_accounting!AL$92</f>
        <v>1302.7143784907898</v>
      </c>
      <c r="O177" s="46">
        <f>+O176+Per_child_accounting!AM$92</f>
        <v>1430.7727643387884</v>
      </c>
      <c r="P177" s="46">
        <f>+P176+Per_child_accounting!AN$92</f>
        <v>1582.1461698207268</v>
      </c>
      <c r="Q177" s="46">
        <f>+Q176+Per_child_accounting!AO$92</f>
        <v>1618.2265737795146</v>
      </c>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row>
    <row r="178" spans="1:40" x14ac:dyDescent="0.2">
      <c r="B178" s="86" t="s">
        <v>1106</v>
      </c>
      <c r="C178" t="str">
        <f t="shared" si="60"/>
        <v>Perth1+6</v>
      </c>
      <c r="D178" s="46">
        <f>+D177+Per_child_accounting!AC$92</f>
        <v>935.46704452411984</v>
      </c>
      <c r="E178" s="46">
        <f>+E177+Per_child_accounting!AC$92</f>
        <v>935.46704452411984</v>
      </c>
      <c r="F178" s="46">
        <f>+F177+Per_child_accounting!AD$92</f>
        <v>935.16543371620401</v>
      </c>
      <c r="G178" s="46">
        <f>+G177+Per_child_accounting!AE$92</f>
        <v>958.31199661952735</v>
      </c>
      <c r="H178" s="46">
        <f>+H177+Per_child_accounting!AF$92</f>
        <v>1000.3995741723273</v>
      </c>
      <c r="I178" s="46">
        <f>+I177+Per_child_accounting!AG$92</f>
        <v>1058.5238213707373</v>
      </c>
      <c r="J178" s="46">
        <f>+J177+Per_child_accounting!AH$92</f>
        <v>1142.9397141875143</v>
      </c>
      <c r="K178" s="46">
        <f>+K177+Per_child_accounting!AI$92</f>
        <v>1214.5934384455113</v>
      </c>
      <c r="L178" s="46">
        <f>+L177+Per_child_accounting!AJ$92</f>
        <v>1300.679133989931</v>
      </c>
      <c r="M178" s="46">
        <f>+M177+Per_child_accounting!AK$92</f>
        <v>1346.2557927503501</v>
      </c>
      <c r="N178" s="46">
        <f>+N177+Per_child_accounting!AL$92</f>
        <v>1399.5387854971668</v>
      </c>
      <c r="O178" s="46">
        <f>+O177+Per_child_accounting!AM$92</f>
        <v>1526.7858887107154</v>
      </c>
      <c r="P178" s="46">
        <f>+P177+Per_child_accounting!AN$92</f>
        <v>1677.2003084262574</v>
      </c>
      <c r="Q178" s="46">
        <f>+Q177+Per_child_accounting!AO$92</f>
        <v>1713.0521323819376</v>
      </c>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row>
    <row r="179" spans="1:40" x14ac:dyDescent="0.2">
      <c r="D179" s="46"/>
      <c r="E179" s="46"/>
      <c r="F179" s="46"/>
      <c r="G179" s="46"/>
      <c r="H179" s="46"/>
      <c r="I179" s="46"/>
      <c r="J179" s="46"/>
      <c r="K179" s="46"/>
      <c r="L179" s="46"/>
      <c r="M179" s="46"/>
      <c r="N179" s="46"/>
      <c r="O179" s="46"/>
      <c r="P179" s="46"/>
      <c r="Q179" s="46"/>
      <c r="S179" s="113"/>
      <c r="T179" s="113"/>
      <c r="U179" s="113"/>
      <c r="V179" s="113"/>
      <c r="W179" s="113"/>
      <c r="X179" s="113"/>
      <c r="Y179" s="113"/>
      <c r="Z179" s="113"/>
      <c r="AA179" s="113"/>
      <c r="AB179" s="113"/>
      <c r="AC179" s="113"/>
      <c r="AD179" s="113"/>
      <c r="AE179" s="113"/>
      <c r="AF179" s="113"/>
      <c r="AG179" s="113"/>
      <c r="AH179" s="113"/>
      <c r="AI179" s="113"/>
      <c r="AJ179" s="113"/>
      <c r="AK179" s="113"/>
      <c r="AL179" s="113"/>
      <c r="AM179" s="113"/>
      <c r="AN179" s="113"/>
    </row>
    <row r="180" spans="1:40" ht="28.5" x14ac:dyDescent="0.45">
      <c r="A180" s="368" t="s">
        <v>242</v>
      </c>
      <c r="B180" s="368"/>
      <c r="C180" s="368"/>
      <c r="D180" s="46"/>
      <c r="E180" s="46"/>
      <c r="F180" s="46"/>
      <c r="G180" s="46"/>
      <c r="H180" s="46"/>
      <c r="I180" s="46"/>
      <c r="J180" s="46"/>
      <c r="K180" s="46"/>
      <c r="L180" s="46"/>
      <c r="M180" s="46"/>
      <c r="N180" s="46"/>
      <c r="O180" s="46"/>
      <c r="P180" s="46"/>
      <c r="Q180" s="46"/>
      <c r="S180" s="113"/>
      <c r="T180" s="113"/>
      <c r="U180" s="113"/>
      <c r="V180" s="113"/>
      <c r="W180" s="113"/>
      <c r="X180" s="113"/>
      <c r="Y180" s="113"/>
      <c r="Z180" s="113"/>
      <c r="AA180" s="113"/>
      <c r="AB180" s="113"/>
      <c r="AC180" s="113"/>
      <c r="AD180" s="113"/>
      <c r="AE180" s="113"/>
      <c r="AF180" s="113"/>
      <c r="AG180" s="113"/>
      <c r="AH180" s="113"/>
      <c r="AI180" s="113"/>
      <c r="AJ180" s="113"/>
      <c r="AK180" s="113"/>
      <c r="AL180" s="113"/>
      <c r="AM180" s="113"/>
      <c r="AN180" s="113"/>
    </row>
    <row r="181" spans="1:40" x14ac:dyDescent="0.2">
      <c r="A181" t="s">
        <v>1085</v>
      </c>
      <c r="B181" s="86" t="s">
        <v>1086</v>
      </c>
      <c r="C181" t="str">
        <f>+CONCATENATE(A$180,B181)</f>
        <v>Balance of WA2+0</v>
      </c>
      <c r="D181" s="46">
        <f>IF(+DropINTable!AB135=0,DropINTable!AC135,DropINTable!AB135)</f>
        <v>623.66244064739305</v>
      </c>
      <c r="E181" s="46">
        <f>IF(+DropINTable!AC135=0,DropINTable!AD135,DropINTable!AC135)</f>
        <v>623.66244064739305</v>
      </c>
      <c r="F181" s="46">
        <f>IF(+DropINTable!AD135=0,DropINTable!AE135,DropINTable!AD135)</f>
        <v>639.96754505112858</v>
      </c>
      <c r="G181" s="46">
        <f>IF(+DropINTable!AE135=0,DropINTable!AF135,DropINTable!AE135)</f>
        <v>663.90145979865815</v>
      </c>
      <c r="H181" s="46">
        <f>IF(+DropINTable!AF135=0,DropINTable!AG135,DropINTable!AF135)</f>
        <v>707.42069266132773</v>
      </c>
      <c r="I181" s="46">
        <f>IF(+DropINTable!AG135=0,DropINTable!AH135,DropINTable!AG135)</f>
        <v>767.52210298279476</v>
      </c>
      <c r="J181" s="46">
        <f>IF(+DropINTable!AH135=0,DropINTable!AI135,DropINTable!AH135)</f>
        <v>854.80949233814727</v>
      </c>
      <c r="K181" s="46">
        <f>IF(+DropINTable!AI135=0,DropINTable!AJ135,DropINTable!AI135)</f>
        <v>928.90059988894916</v>
      </c>
      <c r="L181" s="46">
        <f>IF(+DropINTable!AJ135=0,DropINTable!AK135,DropINTable!AJ135)</f>
        <v>1017.9146003670421</v>
      </c>
      <c r="M181" s="46">
        <f>IF(+DropINTable!AK135=0,DropINTable!AL135,DropINTable!AK135)</f>
        <v>1065.0416007441745</v>
      </c>
      <c r="N181" s="46">
        <f>IF(+DropINTable!AL135=0,DropINTable!AM135,DropINTable!AL135)</f>
        <v>1120.1370657106643</v>
      </c>
      <c r="O181" s="46">
        <f>IF(+DropINTable!AM135=0,DropINTable!AN135,DropINTable!AM135)</f>
        <v>1251.7126337929756</v>
      </c>
      <c r="P181" s="46">
        <f>IF(+DropINTable!AN135=0,DropINTable!AO135,DropINTable!AN135)</f>
        <v>1407.2435675943939</v>
      </c>
      <c r="Q181" s="46">
        <f>IF(+DropINTable!AO135=0,DropINTable!AP135,DropINTable!AO135)</f>
        <v>1444.3149275908368</v>
      </c>
      <c r="S181" s="113"/>
      <c r="T181" s="113"/>
      <c r="U181" s="113"/>
      <c r="V181" s="113"/>
      <c r="W181" s="113"/>
      <c r="X181" s="113"/>
      <c r="Y181" s="113"/>
      <c r="Z181" s="113"/>
      <c r="AA181" s="113"/>
      <c r="AB181" s="113"/>
      <c r="AC181" s="113"/>
      <c r="AD181" s="113"/>
      <c r="AE181" s="113"/>
      <c r="AF181" s="113"/>
      <c r="AG181" s="113"/>
      <c r="AH181" s="113"/>
      <c r="AI181" s="113"/>
      <c r="AJ181" s="113"/>
      <c r="AK181" s="113"/>
      <c r="AL181" s="113"/>
      <c r="AM181" s="113"/>
      <c r="AN181" s="113"/>
    </row>
    <row r="182" spans="1:40" x14ac:dyDescent="0.2">
      <c r="A182" t="s">
        <v>1087</v>
      </c>
      <c r="B182" s="86" t="s">
        <v>1088</v>
      </c>
      <c r="C182" t="str">
        <f t="shared" ref="C182:C192" si="61">+CONCATENATE(A$180,B182)</f>
        <v>Balance of WA2+1</v>
      </c>
      <c r="D182" s="46">
        <f t="shared" ref="D182:D183" si="62">+E182</f>
        <v>734.63622836777279</v>
      </c>
      <c r="E182" s="46">
        <f>IF(+DropINTable!AC136=0,DropINTable!AD136,DropINTable!AC136)</f>
        <v>734.63622836777279</v>
      </c>
      <c r="F182" s="46">
        <f>IF(+DropINTable!AD136=0,DropINTable!AE136,DropINTable!AD136)</f>
        <v>734.63622836777279</v>
      </c>
      <c r="G182" s="46">
        <f>IF(+DropINTable!AE136=0,DropINTable!AF136,DropINTable!AE136)</f>
        <v>758.54743158962731</v>
      </c>
      <c r="H182" s="46">
        <f>IF(+DropINTable!AF136=0,DropINTable!AG136,DropINTable!AF136)</f>
        <v>802.02536731471344</v>
      </c>
      <c r="I182" s="46">
        <f>IF(+DropINTable!AG136=0,DropINTable!AH136,DropINTable!AG136)</f>
        <v>862.06974510060843</v>
      </c>
      <c r="J182" s="46">
        <f>IF(+DropINTable!AH136=0,DropINTable!AI136,DropINTable!AH136)</f>
        <v>949.27430133377334</v>
      </c>
      <c r="K182" s="46">
        <f>IF(+DropINTable!AI136=0,DropINTable!AJ136,DropINTable!AI136)</f>
        <v>1023.2951033600855</v>
      </c>
      <c r="L182" s="46">
        <f>IF(+DropINTable!AJ136=0,DropINTable!AK136,DropINTable!AJ136)</f>
        <v>1112.224633211704</v>
      </c>
      <c r="M182" s="46">
        <f>IF(+DropINTable!AK136=0,DropINTable!AL136,DropINTable!AK136)</f>
        <v>1159.3069143761581</v>
      </c>
      <c r="N182" s="46">
        <f>IF(+DropINTable!AL136=0,DropINTable!AM136,DropINTable!AL136)</f>
        <v>1214.3500969284689</v>
      </c>
      <c r="O182" s="46">
        <f>IF(+DropINTable!AM136=0,DropINTable!AN136,DropINTable!AM136)</f>
        <v>1345.800805511677</v>
      </c>
      <c r="P182" s="46">
        <f>IF(+DropINTable!AN136=0,DropINTable!AO136,DropINTable!AN136)</f>
        <v>1501.1841479918007</v>
      </c>
      <c r="Q182" s="46">
        <f>IF(+DropINTable!AO136=0,DropINTable!AP136,DropINTable!AO136)</f>
        <v>1538.220332485362</v>
      </c>
      <c r="S182" s="113"/>
      <c r="T182" s="113"/>
      <c r="U182" s="113"/>
      <c r="V182" s="113"/>
      <c r="W182" s="113"/>
      <c r="X182" s="113"/>
      <c r="Y182" s="113"/>
      <c r="Z182" s="113"/>
      <c r="AA182" s="113"/>
      <c r="AB182" s="113"/>
      <c r="AC182" s="113"/>
      <c r="AD182" s="113"/>
      <c r="AE182" s="113"/>
      <c r="AF182" s="113"/>
      <c r="AG182" s="113"/>
      <c r="AH182" s="113"/>
      <c r="AI182" s="113"/>
      <c r="AJ182" s="113"/>
      <c r="AK182" s="113"/>
      <c r="AL182" s="113"/>
      <c r="AM182" s="113"/>
      <c r="AN182" s="113"/>
    </row>
    <row r="183" spans="1:40" x14ac:dyDescent="0.2">
      <c r="A183" t="s">
        <v>1089</v>
      </c>
      <c r="B183" s="86" t="s">
        <v>1090</v>
      </c>
      <c r="C183" t="str">
        <f t="shared" si="61"/>
        <v>Balance of WA2+2</v>
      </c>
      <c r="D183" s="46">
        <f t="shared" si="62"/>
        <v>812.94082024322211</v>
      </c>
      <c r="E183" s="46">
        <f>IF(+DropINTable!AC137=0,DropINTable!AD137,DropINTable!AC137)</f>
        <v>812.94082024322211</v>
      </c>
      <c r="F183" s="46">
        <f>IF(+DropINTable!AD137=0,DropINTable!AE137,DropINTable!AD137)</f>
        <v>812.94082024322211</v>
      </c>
      <c r="G183" s="46">
        <f>IF(+DropINTable!AE137=0,DropINTable!AF137,DropINTable!AE137)</f>
        <v>836.94519242578417</v>
      </c>
      <c r="H183" s="46">
        <f>IF(+DropINTable!AF137=0,DropINTable!AG137,DropINTable!AF137)</f>
        <v>880.59253463626919</v>
      </c>
      <c r="I183" s="46">
        <f>IF(+DropINTable!AG137=0,DropINTable!AH137,DropINTable!AG137)</f>
        <v>940.87086671798886</v>
      </c>
      <c r="J183" s="46">
        <f>IF(+DropINTable!AH137=0,DropINTable!AI137,DropINTable!AH137)</f>
        <v>1028.4152085384824</v>
      </c>
      <c r="K183" s="46">
        <f>IF(+DropINTable!AI137=0,DropINTable!AJ137,DropINTable!AI137)</f>
        <v>1102.7244208407792</v>
      </c>
      <c r="L183" s="46">
        <f>IF(+DropINTable!AJ137=0,DropINTable!AK137,DropINTable!AJ137)</f>
        <v>1192.0004572159698</v>
      </c>
      <c r="M183" s="46">
        <f>IF(+DropINTable!AK137=0,DropINTable!AL137,DropINTable!AK137)</f>
        <v>1239.266186062586</v>
      </c>
      <c r="N183" s="46">
        <f>IF(+DropINTable!AL137=0,DropINTable!AM137,DropINTable!AL137)</f>
        <v>1294.523838245196</v>
      </c>
      <c r="O183" s="46">
        <f>IF(+DropINTable!AM137=0,DropINTable!AN137,DropINTable!AM137)</f>
        <v>1426.4867304537627</v>
      </c>
      <c r="P183" s="46">
        <f>IF(+DropINTable!AN137=0,DropINTable!AO137,DropINTable!AN137)</f>
        <v>1582.4755076639135</v>
      </c>
      <c r="Q183" s="46">
        <f>IF(+DropINTable!AO137=0,DropINTable!AP137,DropINTable!AO137)</f>
        <v>1619.6559972246282</v>
      </c>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row>
    <row r="184" spans="1:40" x14ac:dyDescent="0.2">
      <c r="A184" t="s">
        <v>1091</v>
      </c>
      <c r="B184" s="86" t="s">
        <v>1092</v>
      </c>
      <c r="C184" t="str">
        <f t="shared" si="61"/>
        <v>Balance of WA2+3</v>
      </c>
      <c r="D184" s="46">
        <f t="shared" ref="D184" si="63">+F184</f>
        <v>906.0192784870269</v>
      </c>
      <c r="E184" s="46">
        <f>+F184</f>
        <v>906.0192784870269</v>
      </c>
      <c r="F184" s="46">
        <f>IF(+DropINTable!AD138=0,DropINTable!AE138,DropINTable!AD138)</f>
        <v>906.0192784870269</v>
      </c>
      <c r="G184" s="46">
        <f>IF(+DropINTable!AE138=0,DropINTable!AF138,DropINTable!AE138)</f>
        <v>906.0192784870269</v>
      </c>
      <c r="H184" s="46">
        <f>IF(+DropINTable!AF138=0,DropINTable!AG138,DropINTable!AF138)</f>
        <v>949.81509462144697</v>
      </c>
      <c r="I184" s="46">
        <f>IF(+DropINTable!AG138=0,DropINTable!AH138,DropINTable!AG138)</f>
        <v>1010.2984704938536</v>
      </c>
      <c r="J184" s="46">
        <f>IF(+DropINTable!AH138=0,DropINTable!AI138,DropINTable!AH138)</f>
        <v>1098.140606184329</v>
      </c>
      <c r="K184" s="46">
        <f>IF(+DropINTable!AI138=0,DropINTable!AJ138,DropINTable!AI138)</f>
        <v>1172.7025908668547</v>
      </c>
      <c r="L184" s="46">
        <f>IF(+DropINTable!AJ138=0,DropINTable!AK138,DropINTable!AJ138)</f>
        <v>1262.2823131349051</v>
      </c>
      <c r="M184" s="46">
        <f>IF(+DropINTable!AK138=0,DropINTable!AL138,DropINTable!AK138)</f>
        <v>1309.7088246418714</v>
      </c>
      <c r="N184" s="46">
        <f>IF(+DropINTable!AL138=0,DropINTable!AM138,DropINTable!AL138)</f>
        <v>1365.1544409251171</v>
      </c>
      <c r="O184" s="46">
        <f>IF(+DropINTable!AM138=0,DropINTable!AN138,DropINTable!AM138)</f>
        <v>1497.5662223894983</v>
      </c>
      <c r="P184" s="46">
        <f>IF(+DropINTable!AN138=0,DropINTable!AO138,DropINTable!AN138)</f>
        <v>1654.0856189904234</v>
      </c>
      <c r="Q184" s="46">
        <f>IF(+DropINTable!AO138=0,DropINTable!AP138,DropINTable!AO138)</f>
        <v>1691.3925830089518</v>
      </c>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row>
    <row r="185" spans="1:40" x14ac:dyDescent="0.2">
      <c r="B185" s="86" t="s">
        <v>1093</v>
      </c>
      <c r="C185" t="str">
        <f t="shared" ref="C185:C187" si="64">+CONCATENATE(A$180,B185)</f>
        <v>Balance of WA2+4</v>
      </c>
      <c r="D185" s="46">
        <f>+D184+Per_child_accounting!$AD$97</f>
        <v>1000.6879618036711</v>
      </c>
      <c r="E185" s="46">
        <f>+E184+Per_child_accounting!$AD$97</f>
        <v>1000.6879618036711</v>
      </c>
      <c r="F185" s="46">
        <f>+F184+Per_child_accounting!AD$97</f>
        <v>1000.6879618036711</v>
      </c>
      <c r="G185" s="46">
        <f>+G184+Per_child_accounting!AE$97</f>
        <v>1000.6652502779961</v>
      </c>
      <c r="H185" s="46">
        <f>+H184+Per_child_accounting!AF$97</f>
        <v>1044.4197692748326</v>
      </c>
      <c r="I185" s="46">
        <f>+I184+Per_child_accounting!AG$97</f>
        <v>1104.8461126116672</v>
      </c>
      <c r="J185" s="46">
        <f>+J184+Per_child_accounting!AH$97</f>
        <v>1192.6054151799551</v>
      </c>
      <c r="K185" s="46">
        <f>+K184+Per_child_accounting!AI$97</f>
        <v>1267.0970943379912</v>
      </c>
      <c r="L185" s="46">
        <f>+L184+Per_child_accounting!AJ$97</f>
        <v>1356.592345979567</v>
      </c>
      <c r="M185" s="46">
        <f>+M184+Per_child_accounting!AK$97</f>
        <v>1403.974138273855</v>
      </c>
      <c r="N185" s="46">
        <f>+N184+Per_child_accounting!AL$97</f>
        <v>1459.3674721429218</v>
      </c>
      <c r="O185" s="46">
        <f>+O184+Per_child_accounting!AM$97</f>
        <v>1591.6543941081998</v>
      </c>
      <c r="P185" s="46">
        <f>+P184+Per_child_accounting!AN$97</f>
        <v>1748.0261993878303</v>
      </c>
      <c r="Q185" s="46">
        <f>+Q184+Per_child_accounting!AO$97</f>
        <v>1785.297987903477</v>
      </c>
      <c r="S185" s="113"/>
      <c r="T185" s="113"/>
      <c r="U185" s="113"/>
      <c r="V185" s="113"/>
      <c r="W185" s="113"/>
      <c r="X185" s="113"/>
      <c r="Y185" s="113"/>
      <c r="Z185" s="113"/>
      <c r="AA185" s="113"/>
      <c r="AB185" s="113"/>
      <c r="AC185" s="113"/>
      <c r="AD185" s="113"/>
      <c r="AE185" s="113"/>
      <c r="AF185" s="113"/>
      <c r="AG185" s="113"/>
      <c r="AH185" s="113"/>
      <c r="AI185" s="113"/>
      <c r="AJ185" s="113"/>
      <c r="AK185" s="113"/>
      <c r="AL185" s="113"/>
      <c r="AM185" s="113"/>
      <c r="AN185" s="113"/>
    </row>
    <row r="186" spans="1:40" x14ac:dyDescent="0.2">
      <c r="B186" s="86" t="s">
        <v>1094</v>
      </c>
      <c r="C186" t="str">
        <f t="shared" si="64"/>
        <v>Balance of WA2+5</v>
      </c>
      <c r="D186" s="46">
        <f>+D185+Per_child_accounting!$AD$97</f>
        <v>1095.3566451203153</v>
      </c>
      <c r="E186" s="46">
        <f>+E185+Per_child_accounting!$AD$97</f>
        <v>1095.3566451203153</v>
      </c>
      <c r="F186" s="46">
        <f>+F185+Per_child_accounting!$AD$97</f>
        <v>1095.3566451203153</v>
      </c>
      <c r="G186" s="46">
        <f>+G185+Per_child_accounting!AE$97</f>
        <v>1095.3112220689652</v>
      </c>
      <c r="H186" s="46">
        <f>+H185+Per_child_accounting!AF$97</f>
        <v>1139.0244439282183</v>
      </c>
      <c r="I186" s="46">
        <f>+I185+Per_child_accounting!AG$97</f>
        <v>1199.3937547294809</v>
      </c>
      <c r="J186" s="46">
        <f>+J185+Per_child_accounting!AH$97</f>
        <v>1287.0702241755812</v>
      </c>
      <c r="K186" s="46">
        <f>+K185+Per_child_accounting!AI$97</f>
        <v>1361.4915978091276</v>
      </c>
      <c r="L186" s="46">
        <f>+L185+Per_child_accounting!AJ$97</f>
        <v>1450.9023788242289</v>
      </c>
      <c r="M186" s="46">
        <f>+M185+Per_child_accounting!AK$97</f>
        <v>1498.2394519058387</v>
      </c>
      <c r="N186" s="46">
        <f>+N185+Per_child_accounting!AL$97</f>
        <v>1553.5805033607264</v>
      </c>
      <c r="O186" s="46">
        <f>+O185+Per_child_accounting!AM$97</f>
        <v>1685.7425658269012</v>
      </c>
      <c r="P186" s="46">
        <f>+P185+Per_child_accounting!AN$97</f>
        <v>1841.9667797852371</v>
      </c>
      <c r="Q186" s="46">
        <f>+Q185+Per_child_accounting!AO$97</f>
        <v>1879.2033927980021</v>
      </c>
      <c r="S186" s="113"/>
      <c r="T186" s="113"/>
      <c r="U186" s="113"/>
      <c r="V186" s="113"/>
      <c r="W186" s="113"/>
      <c r="X186" s="113"/>
      <c r="Y186" s="113"/>
      <c r="Z186" s="113"/>
      <c r="AA186" s="113"/>
      <c r="AB186" s="113"/>
      <c r="AC186" s="113"/>
      <c r="AD186" s="113"/>
      <c r="AE186" s="113"/>
      <c r="AF186" s="113"/>
      <c r="AG186" s="113"/>
      <c r="AH186" s="113"/>
      <c r="AI186" s="113"/>
      <c r="AJ186" s="113"/>
      <c r="AK186" s="113"/>
      <c r="AL186" s="113"/>
      <c r="AM186" s="113"/>
      <c r="AN186" s="113"/>
    </row>
    <row r="187" spans="1:40" x14ac:dyDescent="0.2">
      <c r="B187" s="86" t="s">
        <v>1095</v>
      </c>
      <c r="C187" t="str">
        <f t="shared" si="64"/>
        <v>Balance of WA2+6</v>
      </c>
      <c r="D187" s="46">
        <f>+D186+Per_child_accounting!$AD$97</f>
        <v>1190.0253284369596</v>
      </c>
      <c r="E187" s="46">
        <f>+E186+Per_child_accounting!$AD$97</f>
        <v>1190.0253284369596</v>
      </c>
      <c r="F187" s="46">
        <f>+F186+Per_child_accounting!$AD$97</f>
        <v>1190.0253284369596</v>
      </c>
      <c r="G187" s="46">
        <f>+G186+Per_child_accounting!AE$97</f>
        <v>1189.9571938599343</v>
      </c>
      <c r="H187" s="46">
        <f>+H186+Per_child_accounting!AF$97</f>
        <v>1233.629118581604</v>
      </c>
      <c r="I187" s="46">
        <f>+I186+Per_child_accounting!AG$97</f>
        <v>1293.9413968472945</v>
      </c>
      <c r="J187" s="46">
        <f>+J186+Per_child_accounting!AH$97</f>
        <v>1381.5350331712073</v>
      </c>
      <c r="K187" s="46">
        <f>+K186+Per_child_accounting!AI$97</f>
        <v>1455.886101280264</v>
      </c>
      <c r="L187" s="46">
        <f>+L186+Per_child_accounting!AJ$97</f>
        <v>1545.2124116688908</v>
      </c>
      <c r="M187" s="46">
        <f>+M186+Per_child_accounting!AK$97</f>
        <v>1592.5047655378223</v>
      </c>
      <c r="N187" s="46">
        <f>+N186+Per_child_accounting!AL$97</f>
        <v>1647.7935345785311</v>
      </c>
      <c r="O187" s="46">
        <f>+O186+Per_child_accounting!AM$97</f>
        <v>1779.8307375456027</v>
      </c>
      <c r="P187" s="46">
        <f>+P186+Per_child_accounting!AN$97</f>
        <v>1935.907360182644</v>
      </c>
      <c r="Q187" s="46">
        <f>+Q186+Per_child_accounting!AO$97</f>
        <v>1973.1087976925273</v>
      </c>
      <c r="S187" s="113"/>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row>
    <row r="188" spans="1:40" x14ac:dyDescent="0.2">
      <c r="B188" s="86"/>
      <c r="D188" s="46"/>
      <c r="E188" s="46"/>
      <c r="F188" s="46"/>
      <c r="G188" s="46"/>
      <c r="H188" s="46"/>
      <c r="I188" s="46"/>
      <c r="J188" s="46"/>
      <c r="K188" s="46"/>
      <c r="L188" s="46"/>
      <c r="M188" s="46"/>
      <c r="N188" s="46"/>
      <c r="O188" s="46"/>
      <c r="P188" s="46"/>
      <c r="Q188" s="46"/>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row>
    <row r="189" spans="1:40" x14ac:dyDescent="0.2">
      <c r="A189" t="s">
        <v>1096</v>
      </c>
      <c r="B189" s="86" t="s">
        <v>1097</v>
      </c>
      <c r="C189" t="str">
        <f t="shared" si="61"/>
        <v>Balance of WA1+0</v>
      </c>
      <c r="D189" s="46">
        <f>IF(+DropINTable!AB140=0,DropINTable!AC140,DropINTable!AB140)</f>
        <v>320.02063512923439</v>
      </c>
      <c r="E189" s="46">
        <f>IF(+DropINTable!AC140=0,DropINTable!AD140,DropINTable!AC140)</f>
        <v>337.16189031049799</v>
      </c>
      <c r="F189" s="46">
        <f>IF(+DropINTable!AD140=0,DropINTable!AE140,DropINTable!AD140)</f>
        <v>353.31021531130625</v>
      </c>
      <c r="G189" s="46">
        <f>IF(+DropINTable!AE140=0,DropINTable!AF140,DropINTable!AE140)</f>
        <v>377.01399701074945</v>
      </c>
      <c r="H189" s="46">
        <f>IF(+DropINTable!AF140=0,DropINTable!AG140,DropINTable!AF140)</f>
        <v>420.11477772888793</v>
      </c>
      <c r="I189" s="46">
        <f>IF(+DropINTable!AG140=0,DropINTable!AH140,DropINTable!AG140)</f>
        <v>479.63829236409282</v>
      </c>
      <c r="J189" s="46">
        <f>IF(+DropINTable!AH140=0,DropINTable!AI140,DropINTable!AH140)</f>
        <v>566.08638215310066</v>
      </c>
      <c r="K189" s="46">
        <f>IF(+DropINTable!AI140=0,DropINTable!AJ140,DropINTable!AI140)</f>
        <v>639.465078931481</v>
      </c>
      <c r="L189" s="46">
        <f>IF(+DropINTable!AJ140=0,DropINTable!AK140,DropINTable!AJ140)</f>
        <v>727.62318008414627</v>
      </c>
      <c r="M189" s="46">
        <f>IF(+DropINTable!AK140=0,DropINTable!AL140,DropINTable!AK140)</f>
        <v>774.29703751189822</v>
      </c>
      <c r="N189" s="46">
        <f>IF(+DropINTable!AL140=0,DropINTable!AM140,DropINTable!AL140)</f>
        <v>828.8627403956732</v>
      </c>
      <c r="O189" s="46">
        <f>IF(+DropINTable!AM140=0,DropINTable!AN140,DropINTable!AM140)</f>
        <v>959.1731648419169</v>
      </c>
      <c r="P189" s="46">
        <f>IF(+DropINTable!AN140=0,DropINTable!AO140,DropINTable!AN140)</f>
        <v>1113.2086152707193</v>
      </c>
      <c r="Q189" s="46">
        <f>IF(+DropINTable!AO140=0,DropINTable!AP140,DropINTable!AO140)</f>
        <v>1149.9235210072384</v>
      </c>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row>
    <row r="190" spans="1:40" x14ac:dyDescent="0.2">
      <c r="A190" t="s">
        <v>1098</v>
      </c>
      <c r="B190" s="86" t="s">
        <v>1099</v>
      </c>
      <c r="C190" t="str">
        <f t="shared" si="61"/>
        <v>Balance of WA1+1</v>
      </c>
      <c r="D190" s="46">
        <f>IF(+DropINTable!AB141=0,DropINTable!AC141,DropINTable!AB141)</f>
        <v>436.71915360612843</v>
      </c>
      <c r="E190" s="46">
        <f>IF(+DropINTable!AC141=0,DropINTable!AD141,DropINTable!AC141)</f>
        <v>436.71915360612843</v>
      </c>
      <c r="F190" s="46">
        <f>IF(+DropINTable!AD141=0,DropINTable!AE141,DropINTable!AD141)</f>
        <v>452.7669416161682</v>
      </c>
      <c r="G190" s="46">
        <f>IF(+DropINTable!AE141=0,DropINTable!AF141,DropINTable!AE141)</f>
        <v>476.323150171328</v>
      </c>
      <c r="H190" s="46">
        <f>IF(+DropINTable!AF141=0,DropINTable!AG141,DropINTable!AF141)</f>
        <v>519.15559564455384</v>
      </c>
      <c r="I190" s="46">
        <f>IF(+DropINTable!AG141=0,DropINTable!AH141,DropINTable!AG141)</f>
        <v>578.30852939231647</v>
      </c>
      <c r="J190" s="46">
        <f>IF(+DropINTable!AH141=0,DropINTable!AI141,DropINTable!AH141)</f>
        <v>664.21841508235809</v>
      </c>
      <c r="K190" s="46">
        <f>IF(+DropINTable!AI141=0,DropINTable!AJ141,DropINTable!AI141)</f>
        <v>737.14027409223195</v>
      </c>
      <c r="L190" s="46">
        <f>IF(+DropINTable!AJ141=0,DropINTable!AK141,DropINTable!AJ141)</f>
        <v>824.74952257576001</v>
      </c>
      <c r="M190" s="46">
        <f>IF(+DropINTable!AK141=0,DropINTable!AL141,DropINTable!AK141)</f>
        <v>871.13280154113147</v>
      </c>
      <c r="N190" s="46">
        <f>IF(+DropINTable!AL141=0,DropINTable!AM141,DropINTable!AL141)</f>
        <v>925.35879322404594</v>
      </c>
      <c r="O190" s="46">
        <f>IF(+DropINTable!AM141=0,DropINTable!AN141,DropINTable!AM141)</f>
        <v>1054.8579318981554</v>
      </c>
      <c r="P190" s="46">
        <f>IF(+DropINTable!AN141=0,DropINTable!AO141,DropINTable!AN141)</f>
        <v>1207.9343951883118</v>
      </c>
      <c r="Q190" s="46">
        <f>IF(+DropINTable!AO141=0,DropINTable!AP141,DropINTable!AO141)</f>
        <v>1244.4207225337002</v>
      </c>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row>
    <row r="191" spans="1:40" x14ac:dyDescent="0.2">
      <c r="A191" t="s">
        <v>1100</v>
      </c>
      <c r="B191" s="86" t="s">
        <v>1101</v>
      </c>
      <c r="C191" t="str">
        <f t="shared" si="61"/>
        <v>Balance of WA1+2</v>
      </c>
      <c r="D191" s="46">
        <f>IF(+DropINTable!AB142=0,DropINTable!AC142,DropINTable!AB142)</f>
        <v>554.47288568989768</v>
      </c>
      <c r="E191" s="46">
        <f>IF(+DropINTable!AC142=0,DropINTable!AD142,DropINTable!AC142)</f>
        <v>554.47288568989768</v>
      </c>
      <c r="F191" s="46">
        <f>IF(+DropINTable!AD142=0,DropINTable!AE142,DropINTable!AD142)</f>
        <v>570.53194332818953</v>
      </c>
      <c r="G191" s="46">
        <f>IF(+DropINTable!AE142=0,DropINTable!AF142,DropINTable!AE142)</f>
        <v>594.10468681918439</v>
      </c>
      <c r="H191" s="46">
        <f>IF(+DropINTable!AF142=0,DropINTable!AG142,DropINTable!AF142)</f>
        <v>636.96720062370332</v>
      </c>
      <c r="I191" s="46">
        <f>IF(+DropINTable!AG142=0,DropINTable!AH142,DropINTable!AG142)</f>
        <v>696.16166089165904</v>
      </c>
      <c r="J191" s="46">
        <f>IF(+DropINTable!AH142=0,DropINTable!AI142,DropINTable!AH142)</f>
        <v>782.13185615510474</v>
      </c>
      <c r="K191" s="46">
        <f>IF(+DropINTable!AI142=0,DropINTable!AJ142,DropINTable!AI142)</f>
        <v>855.10490502126925</v>
      </c>
      <c r="L191" s="46">
        <f>IF(+DropINTable!AJ142=0,DropINTable!AK142,DropINTable!AJ142)</f>
        <v>942.7756578003017</v>
      </c>
      <c r="M191" s="46">
        <f>IF(+DropINTable!AK142=0,DropINTable!AL142,DropINTable!AK142)</f>
        <v>989.19149210679814</v>
      </c>
      <c r="N191" s="46">
        <f>IF(+DropINTable!AL142=0,DropINTable!AM142,DropINTable!AL142)</f>
        <v>1043.455551760055</v>
      </c>
      <c r="O191" s="46">
        <f>IF(+DropINTable!AM142=0,DropINTable!AN142,DropINTable!AM142)</f>
        <v>1173.0455974867814</v>
      </c>
      <c r="P191" s="46">
        <f>IF(+DropINTable!AN142=0,DropINTable!AO142,DropINTable!AN142)</f>
        <v>1326.2295201592895</v>
      </c>
      <c r="Q191" s="46">
        <f>IF(+DropINTable!AO142=0,DropINTable!AP142,DropINTable!AO142)</f>
        <v>1362.7414655786279</v>
      </c>
      <c r="S191" s="113"/>
      <c r="T191" s="113"/>
      <c r="U191" s="113"/>
      <c r="V191" s="113"/>
      <c r="W191" s="113"/>
      <c r="X191" s="113"/>
      <c r="Y191" s="113"/>
      <c r="Z191" s="113"/>
      <c r="AA191" s="113"/>
      <c r="AB191" s="113"/>
      <c r="AC191" s="113"/>
      <c r="AD191" s="113"/>
      <c r="AE191" s="113"/>
      <c r="AF191" s="113"/>
      <c r="AG191" s="113"/>
      <c r="AH191" s="113"/>
      <c r="AI191" s="113"/>
      <c r="AJ191" s="113"/>
      <c r="AK191" s="113"/>
      <c r="AL191" s="113"/>
      <c r="AM191" s="113"/>
      <c r="AN191" s="113"/>
    </row>
    <row r="192" spans="1:40" x14ac:dyDescent="0.2">
      <c r="A192" t="s">
        <v>1102</v>
      </c>
      <c r="B192" s="86" t="s">
        <v>1103</v>
      </c>
      <c r="C192" t="str">
        <f t="shared" si="61"/>
        <v>Balance of WA1+3</v>
      </c>
      <c r="D192" s="46">
        <f t="shared" ref="D192" si="65">+E192</f>
        <v>688.29694504021086</v>
      </c>
      <c r="E192" s="46">
        <f>IF(+DropINTable!AC143=0,DropINTable!AD143,DropINTable!AC143)</f>
        <v>688.29694504021086</v>
      </c>
      <c r="F192" s="46">
        <f>IF(+DropINTable!AD143=0,DropINTable!AE143,DropINTable!AD143)</f>
        <v>688.29694504021086</v>
      </c>
      <c r="G192" s="46">
        <f>IF(+DropINTable!AE143=0,DropINTable!AF143,DropINTable!AE143)</f>
        <v>711.88622346704074</v>
      </c>
      <c r="H192" s="46">
        <f>IF(+DropINTable!AF143=0,DropINTable!AG143,DropINTable!AF143)</f>
        <v>754.7788056028528</v>
      </c>
      <c r="I192" s="46">
        <f>IF(+DropINTable!AG143=0,DropINTable!AH143,DropINTable!AG143)</f>
        <v>814.01479239100161</v>
      </c>
      <c r="J192" s="46">
        <f>IF(+DropINTable!AH143=0,DropINTable!AI143,DropINTable!AH143)</f>
        <v>900.04529722785139</v>
      </c>
      <c r="K192" s="46">
        <f>IF(+DropINTable!AI143=0,DropINTable!AJ143,DropINTable!AI143)</f>
        <v>973.06953595030654</v>
      </c>
      <c r="L192" s="46">
        <f>IF(+DropINTable!AJ143=0,DropINTable!AK143,DropINTable!AJ143)</f>
        <v>1060.8017930248434</v>
      </c>
      <c r="M192" s="46">
        <f>IF(+DropINTable!AK143=0,DropINTable!AL143,DropINTable!AK143)</f>
        <v>1107.2501826724647</v>
      </c>
      <c r="N192" s="46">
        <f>IF(+DropINTable!AL143=0,DropINTable!AM143,DropINTable!AL143)</f>
        <v>1161.552310296064</v>
      </c>
      <c r="O192" s="46">
        <f>IF(+DropINTable!AM143=0,DropINTable!AN143,DropINTable!AM143)</f>
        <v>1291.2332630754074</v>
      </c>
      <c r="P192" s="46">
        <f>IF(+DropINTable!AN143=0,DropINTable!AO143,DropINTable!AN143)</f>
        <v>1444.5246451302671</v>
      </c>
      <c r="Q192" s="46">
        <f>IF(+DropINTable!AO143=0,DropINTable!AP143,DropINTable!AO143)</f>
        <v>1481.0622086235555</v>
      </c>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row>
    <row r="193" spans="1:40" x14ac:dyDescent="0.2">
      <c r="B193" s="86" t="s">
        <v>1104</v>
      </c>
      <c r="C193" t="str">
        <f t="shared" ref="C193:C195" si="66">+CONCATENATE(A$180,B193)</f>
        <v>Balance of WA1+4</v>
      </c>
      <c r="D193" s="46">
        <f>+D192+Per_child_accounting!AC$100</f>
        <v>787.85420833584135</v>
      </c>
      <c r="E193" s="46">
        <f>+E192+Per_child_accounting!AC$100</f>
        <v>787.85420833584135</v>
      </c>
      <c r="F193" s="46">
        <f>+F192+Per_child_accounting!AD$100</f>
        <v>787.7536713450728</v>
      </c>
      <c r="G193" s="46">
        <f>+G192+Per_child_accounting!AE$100</f>
        <v>811.19537662761923</v>
      </c>
      <c r="H193" s="46">
        <f>+H192+Per_child_accounting!AF$100</f>
        <v>853.81962351851871</v>
      </c>
      <c r="I193" s="46">
        <f>+I192+Per_child_accounting!AG$100</f>
        <v>912.6850294192252</v>
      </c>
      <c r="J193" s="46">
        <f>+J192+Per_child_accounting!AH$100</f>
        <v>998.17733015710883</v>
      </c>
      <c r="K193" s="46">
        <f>+K192+Per_child_accounting!AI$100</f>
        <v>1070.7447311110575</v>
      </c>
      <c r="L193" s="46">
        <f>+L192+Per_child_accounting!AJ$100</f>
        <v>1157.9281355164571</v>
      </c>
      <c r="M193" s="46">
        <f>+M192+Per_child_accounting!AK$100</f>
        <v>1204.085946701698</v>
      </c>
      <c r="N193" s="46">
        <f>+N192+Per_child_accounting!AL$100</f>
        <v>1258.0483631244367</v>
      </c>
      <c r="O193" s="46">
        <f>+O192+Per_child_accounting!AM$100</f>
        <v>1386.918030131646</v>
      </c>
      <c r="P193" s="46">
        <f>+P192+Per_child_accounting!AN$100</f>
        <v>1539.2504250478596</v>
      </c>
      <c r="Q193" s="46">
        <f>+Q192+Per_child_accounting!AO$100</f>
        <v>1575.5594101500174</v>
      </c>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row>
    <row r="194" spans="1:40" x14ac:dyDescent="0.2">
      <c r="B194" s="86" t="s">
        <v>1105</v>
      </c>
      <c r="C194" t="str">
        <f t="shared" si="66"/>
        <v>Balance of WA1+5</v>
      </c>
      <c r="D194" s="46">
        <f>+D193+Per_child_accounting!AC$100</f>
        <v>887.41147163147184</v>
      </c>
      <c r="E194" s="46">
        <f>+E193+Per_child_accounting!AC$100</f>
        <v>887.41147163147184</v>
      </c>
      <c r="F194" s="46">
        <f>+F193+Per_child_accounting!AD$100</f>
        <v>887.21039764993475</v>
      </c>
      <c r="G194" s="46">
        <f>+G193+Per_child_accounting!AE$100</f>
        <v>910.50452978819771</v>
      </c>
      <c r="H194" s="46">
        <f>+H193+Per_child_accounting!AF$100</f>
        <v>952.86044143418462</v>
      </c>
      <c r="I194" s="46">
        <f>+I193+Per_child_accounting!AG$100</f>
        <v>1011.3552664474489</v>
      </c>
      <c r="J194" s="46">
        <f>+J193+Per_child_accounting!AH$100</f>
        <v>1096.3093630863664</v>
      </c>
      <c r="K194" s="46">
        <f>+K193+Per_child_accounting!AI$100</f>
        <v>1168.4199262718084</v>
      </c>
      <c r="L194" s="46">
        <f>+L193+Per_child_accounting!AJ$100</f>
        <v>1255.0544780080709</v>
      </c>
      <c r="M194" s="46">
        <f>+M193+Per_child_accounting!AK$100</f>
        <v>1300.9217107309314</v>
      </c>
      <c r="N194" s="46">
        <f>+N193+Per_child_accounting!AL$100</f>
        <v>1354.5444159528095</v>
      </c>
      <c r="O194" s="46">
        <f>+O193+Per_child_accounting!AM$100</f>
        <v>1482.6027971878843</v>
      </c>
      <c r="P194" s="46">
        <f>+P193+Per_child_accounting!AN$100</f>
        <v>1633.9762049654521</v>
      </c>
      <c r="Q194" s="46">
        <f>+Q193+Per_child_accounting!AO$100</f>
        <v>1670.0566116764792</v>
      </c>
      <c r="S194" s="113"/>
      <c r="T194" s="113"/>
      <c r="U194" s="113"/>
      <c r="V194" s="113"/>
      <c r="W194" s="113"/>
      <c r="X194" s="113"/>
      <c r="Y194" s="113"/>
      <c r="Z194" s="113"/>
      <c r="AA194" s="113"/>
      <c r="AB194" s="113"/>
      <c r="AC194" s="113"/>
      <c r="AD194" s="113"/>
      <c r="AE194" s="113"/>
      <c r="AF194" s="113"/>
      <c r="AG194" s="113"/>
      <c r="AH194" s="113"/>
      <c r="AI194" s="113"/>
      <c r="AJ194" s="113"/>
      <c r="AK194" s="113"/>
      <c r="AL194" s="113"/>
      <c r="AM194" s="113"/>
      <c r="AN194" s="113"/>
    </row>
    <row r="195" spans="1:40" x14ac:dyDescent="0.2">
      <c r="B195" s="86" t="s">
        <v>1106</v>
      </c>
      <c r="C195" t="str">
        <f t="shared" si="66"/>
        <v>Balance of WA1+6</v>
      </c>
      <c r="D195" s="46">
        <f>+D194+Per_child_accounting!AC$100</f>
        <v>986.96873492710233</v>
      </c>
      <c r="E195" s="46">
        <f>+E194+Per_child_accounting!AC$100</f>
        <v>986.96873492710233</v>
      </c>
      <c r="F195" s="46">
        <f>+F194+Per_child_accounting!AD$100</f>
        <v>986.66712395479669</v>
      </c>
      <c r="G195" s="46">
        <f>+G194+Per_child_accounting!AE$100</f>
        <v>1009.8136829487762</v>
      </c>
      <c r="H195" s="46">
        <f>+H194+Per_child_accounting!AF$100</f>
        <v>1051.9012593498505</v>
      </c>
      <c r="I195" s="46">
        <f>+I194+Per_child_accounting!AG$100</f>
        <v>1110.0255034756726</v>
      </c>
      <c r="J195" s="46">
        <f>+J194+Per_child_accounting!AH$100</f>
        <v>1194.4413960156239</v>
      </c>
      <c r="K195" s="46">
        <f>+K194+Per_child_accounting!AI$100</f>
        <v>1266.0951214325594</v>
      </c>
      <c r="L195" s="46">
        <f>+L194+Per_child_accounting!AJ$100</f>
        <v>1352.1808204996846</v>
      </c>
      <c r="M195" s="46">
        <f>+M194+Per_child_accounting!AK$100</f>
        <v>1397.7574747601648</v>
      </c>
      <c r="N195" s="46">
        <f>+N194+Per_child_accounting!AL$100</f>
        <v>1451.0404687811822</v>
      </c>
      <c r="O195" s="46">
        <f>+O194+Per_child_accounting!AM$100</f>
        <v>1578.2875642441227</v>
      </c>
      <c r="P195" s="46">
        <f>+P194+Per_child_accounting!AN$100</f>
        <v>1728.7019848830446</v>
      </c>
      <c r="Q195" s="46">
        <f>+Q194+Per_child_accounting!AO$100</f>
        <v>1764.553813202941</v>
      </c>
      <c r="S195" s="113"/>
      <c r="T195" s="113"/>
      <c r="U195" s="113"/>
      <c r="V195" s="113"/>
      <c r="W195" s="113"/>
      <c r="X195" s="113"/>
      <c r="Y195" s="113"/>
      <c r="Z195" s="113"/>
      <c r="AA195" s="113"/>
      <c r="AB195" s="113"/>
      <c r="AC195" s="113"/>
      <c r="AD195" s="113"/>
      <c r="AE195" s="113"/>
      <c r="AF195" s="113"/>
      <c r="AG195" s="113"/>
      <c r="AH195" s="113"/>
      <c r="AI195" s="113"/>
      <c r="AJ195" s="113"/>
      <c r="AK195" s="113"/>
      <c r="AL195" s="113"/>
      <c r="AM195" s="113"/>
      <c r="AN195" s="113"/>
    </row>
    <row r="196" spans="1:40" x14ac:dyDescent="0.2">
      <c r="D196" s="46"/>
      <c r="E196" s="46"/>
      <c r="F196" s="46"/>
      <c r="G196" s="46"/>
      <c r="H196" s="46"/>
      <c r="I196" s="46"/>
      <c r="J196" s="46"/>
      <c r="K196" s="46"/>
      <c r="L196" s="46"/>
      <c r="M196" s="46"/>
      <c r="N196" s="46"/>
      <c r="O196" s="46"/>
      <c r="P196" s="46"/>
      <c r="Q196" s="46"/>
      <c r="S196" s="113"/>
      <c r="T196" s="113"/>
      <c r="U196" s="113"/>
      <c r="V196" s="113"/>
      <c r="W196" s="113"/>
      <c r="X196" s="113"/>
      <c r="Y196" s="113"/>
      <c r="Z196" s="113"/>
      <c r="AA196" s="113"/>
      <c r="AB196" s="113"/>
      <c r="AC196" s="113"/>
      <c r="AD196" s="113"/>
      <c r="AE196" s="113"/>
      <c r="AF196" s="113"/>
      <c r="AG196" s="113"/>
      <c r="AH196" s="113"/>
      <c r="AI196" s="113"/>
      <c r="AJ196" s="113"/>
      <c r="AK196" s="113"/>
      <c r="AL196" s="113"/>
      <c r="AM196" s="113"/>
      <c r="AN196" s="113"/>
    </row>
    <row r="197" spans="1:40" ht="28.5" x14ac:dyDescent="0.45">
      <c r="A197" s="368" t="s">
        <v>235</v>
      </c>
      <c r="B197" s="368"/>
      <c r="C197" s="368"/>
      <c r="D197" s="46"/>
      <c r="E197" s="46"/>
      <c r="F197" s="46"/>
      <c r="G197" s="46"/>
      <c r="H197" s="46"/>
      <c r="I197" s="46"/>
      <c r="J197" s="46"/>
      <c r="K197" s="46"/>
      <c r="L197" s="46"/>
      <c r="M197" s="46"/>
      <c r="N197" s="46"/>
      <c r="O197" s="46"/>
      <c r="P197" s="46"/>
      <c r="Q197" s="46"/>
      <c r="S197" s="113"/>
      <c r="T197" s="113"/>
      <c r="U197" s="113"/>
      <c r="V197" s="113"/>
      <c r="W197" s="113"/>
      <c r="X197" s="113"/>
      <c r="Y197" s="113"/>
      <c r="Z197" s="113"/>
      <c r="AA197" s="113"/>
      <c r="AB197" s="113"/>
      <c r="AC197" s="113"/>
      <c r="AD197" s="113"/>
      <c r="AE197" s="113"/>
      <c r="AF197" s="113"/>
      <c r="AG197" s="113"/>
      <c r="AH197" s="113"/>
      <c r="AI197" s="113"/>
      <c r="AJ197" s="113"/>
      <c r="AK197" s="113"/>
      <c r="AL197" s="113"/>
      <c r="AM197" s="113"/>
      <c r="AN197" s="113"/>
    </row>
    <row r="198" spans="1:40" x14ac:dyDescent="0.2">
      <c r="A198" t="s">
        <v>1085</v>
      </c>
      <c r="B198" s="86" t="s">
        <v>1086</v>
      </c>
      <c r="C198" t="str">
        <f>+CONCATENATE(A$197,B198)</f>
        <v>Hobart2+0</v>
      </c>
      <c r="D198" s="46">
        <f>IF(+DropINTable!AB147=0,DropINTable!AC147,DropINTable!AB147)</f>
        <v>645.62222168571861</v>
      </c>
      <c r="E198" s="46">
        <f>IF(+DropINTable!AC147=0,DropINTable!AD147,DropINTable!AC147)</f>
        <v>645.62222168571861</v>
      </c>
      <c r="F198" s="46">
        <f>IF(+DropINTable!AD147=0,DropINTable!AE147,DropINTable!AD147)</f>
        <v>661.92732578753737</v>
      </c>
      <c r="G198" s="46">
        <f>IF(+DropINTable!AE147=0,DropINTable!AF147,DropINTable!AE147)</f>
        <v>685.86124137677427</v>
      </c>
      <c r="H198" s="46">
        <f>IF(+DropINTable!AF147=0,DropINTable!AG147,DropINTable!AF147)</f>
        <v>729.38047405951352</v>
      </c>
      <c r="I198" s="46">
        <f>IF(+DropINTable!AG147=0,DropINTable!AH147,DropINTable!AG147)</f>
        <v>789.4818839143818</v>
      </c>
      <c r="J198" s="46">
        <f>IF(+DropINTable!AH147=0,DropINTable!AI147,DropINTable!AH147)</f>
        <v>876.76927165036238</v>
      </c>
      <c r="K198" s="46">
        <f>IF(+DropINTable!AI147=0,DropINTable!AJ147,DropINTable!AI147)</f>
        <v>950.86038050337129</v>
      </c>
      <c r="L198" s="46">
        <f>IF(+DropINTable!AJ147=0,DropINTable!AK147,DropINTable!AJ147)</f>
        <v>1039.8743821220387</v>
      </c>
      <c r="M198" s="46">
        <f>IF(+DropINTable!AK147=0,DropINTable!AL147,DropINTable!AK147)</f>
        <v>1087.0013816208677</v>
      </c>
      <c r="N198" s="46">
        <f>IF(+DropINTable!AL147=0,DropINTable!AM147,DropINTable!AL147)</f>
        <v>1142.0968462701924</v>
      </c>
      <c r="O198" s="46">
        <f>IF(+DropINTable!AM147=0,DropINTable!AN147,DropINTable!AM147)</f>
        <v>1273.6724151759133</v>
      </c>
      <c r="P198" s="46">
        <f>IF(+DropINTable!AN147=0,DropINTable!AO147,DropINTable!AN147)</f>
        <v>1429.2033488065504</v>
      </c>
      <c r="Q198" s="46">
        <f>IF(+DropINTable!AO147=0,DropINTable!AP147,DropINTable!AO147)</f>
        <v>1466.274707802703</v>
      </c>
      <c r="R198" s="46"/>
      <c r="S198" s="113"/>
      <c r="T198" s="113"/>
      <c r="U198" s="113"/>
      <c r="V198" s="113"/>
      <c r="W198" s="113"/>
      <c r="X198" s="113"/>
      <c r="Y198" s="113"/>
      <c r="Z198" s="113"/>
      <c r="AA198" s="113"/>
      <c r="AB198" s="113"/>
      <c r="AC198" s="113"/>
      <c r="AD198" s="113"/>
      <c r="AE198" s="113"/>
      <c r="AF198" s="113"/>
      <c r="AG198" s="113"/>
      <c r="AH198" s="113"/>
      <c r="AI198" s="113"/>
      <c r="AJ198" s="113"/>
      <c r="AK198" s="113"/>
      <c r="AL198" s="113"/>
      <c r="AM198" s="113"/>
      <c r="AN198" s="113"/>
    </row>
    <row r="199" spans="1:40" x14ac:dyDescent="0.2">
      <c r="A199" t="s">
        <v>1087</v>
      </c>
      <c r="B199" s="86" t="s">
        <v>1088</v>
      </c>
      <c r="C199" t="str">
        <f t="shared" ref="C199:C209" si="67">+CONCATENATE(A$197,B199)</f>
        <v>Hobart2+1</v>
      </c>
      <c r="D199" s="46">
        <f t="shared" ref="D199:D200" si="68">+E199</f>
        <v>756.57517160942768</v>
      </c>
      <c r="E199" s="46">
        <f>IF(+DropINTable!AC148=0,DropINTable!AD148,DropINTable!AC148)</f>
        <v>756.57517160942768</v>
      </c>
      <c r="F199" s="46">
        <f>IF(+DropINTable!AD148=0,DropINTable!AE148,DropINTable!AD148)</f>
        <v>756.57517160942768</v>
      </c>
      <c r="G199" s="46">
        <f>IF(+DropINTable!AE148=0,DropINTable!AF148,DropINTable!AE148)</f>
        <v>780.48637377817693</v>
      </c>
      <c r="H199" s="46">
        <f>IF(+DropINTable!AF148=0,DropINTable!AG148,DropINTable!AF148)</f>
        <v>823.96430834777289</v>
      </c>
      <c r="I199" s="46">
        <f>IF(+DropINTable!AG148=0,DropINTable!AH148,DropINTable!AG148)</f>
        <v>884.00868804973436</v>
      </c>
      <c r="J199" s="46">
        <f>IF(+DropINTable!AH148=0,DropINTable!AI148,DropINTable!AH148)</f>
        <v>971.21324396111675</v>
      </c>
      <c r="K199" s="46">
        <f>IF(+DropINTable!AI148=0,DropINTable!AJ148,DropINTable!AI148)</f>
        <v>1045.2340465432344</v>
      </c>
      <c r="L199" s="46">
        <f>IF(+DropINTable!AJ148=0,DropINTable!AK148,DropINTable!AJ148)</f>
        <v>1134.1635748444482</v>
      </c>
      <c r="M199" s="46">
        <f>IF(+DropINTable!AK148=0,DropINTable!AL148,DropINTable!AK148)</f>
        <v>1181.245856535455</v>
      </c>
      <c r="N199" s="46">
        <f>IF(+DropINTable!AL148=0,DropINTable!AM148,DropINTable!AL148)</f>
        <v>1236.2890384734546</v>
      </c>
      <c r="O199" s="46">
        <f>IF(+DropINTable!AM148=0,DropINTable!AN148,DropINTable!AM148)</f>
        <v>1367.7397502452311</v>
      </c>
      <c r="P199" s="46">
        <f>IF(+DropINTable!AN148=0,DropINTable!AO148,DropINTable!AN148)</f>
        <v>1523.1230933689187</v>
      </c>
      <c r="Q199" s="46">
        <f>IF(+DropINTable!AO148=0,DropINTable!AP148,DropINTable!AO148)</f>
        <v>1560.159271134308</v>
      </c>
      <c r="R199" s="46"/>
      <c r="S199" s="113"/>
      <c r="T199" s="113"/>
      <c r="U199" s="113"/>
      <c r="V199" s="113"/>
      <c r="W199" s="113"/>
      <c r="X199" s="113"/>
      <c r="Y199" s="113"/>
      <c r="Z199" s="113"/>
      <c r="AA199" s="113"/>
      <c r="AB199" s="113"/>
      <c r="AC199" s="113"/>
      <c r="AD199" s="113"/>
      <c r="AE199" s="113"/>
      <c r="AF199" s="113"/>
      <c r="AG199" s="113"/>
      <c r="AH199" s="113"/>
      <c r="AI199" s="113"/>
      <c r="AJ199" s="113"/>
      <c r="AK199" s="113"/>
      <c r="AL199" s="113"/>
      <c r="AM199" s="113"/>
      <c r="AN199" s="113"/>
    </row>
    <row r="200" spans="1:40" x14ac:dyDescent="0.2">
      <c r="A200" t="s">
        <v>1089</v>
      </c>
      <c r="B200" s="86" t="s">
        <v>1090</v>
      </c>
      <c r="C200" t="str">
        <f t="shared" si="67"/>
        <v>Hobart2+2</v>
      </c>
      <c r="D200" s="46">
        <f t="shared" si="68"/>
        <v>834.96524630464501</v>
      </c>
      <c r="E200" s="46">
        <f>IF(+DropINTable!AC149=0,DropINTable!AD149,DropINTable!AC149)</f>
        <v>834.96524630464501</v>
      </c>
      <c r="F200" s="46">
        <f>IF(+DropINTable!AD149=0,DropINTable!AE149,DropINTable!AD149)</f>
        <v>834.96524630464501</v>
      </c>
      <c r="G200" s="46">
        <f>IF(+DropINTable!AE149=0,DropINTable!AF149,DropINTable!AE149)</f>
        <v>858.96961743338704</v>
      </c>
      <c r="H200" s="46">
        <f>IF(+DropINTable!AF149=0,DropINTable!AG149,DropINTable!AF149)</f>
        <v>902.61696009626962</v>
      </c>
      <c r="I200" s="46">
        <f>IF(+DropINTable!AG149=0,DropINTable!AH149,DropINTable!AG149)</f>
        <v>962.89529168833565</v>
      </c>
      <c r="J200" s="46">
        <f>IF(+DropINTable!AH149=0,DropINTable!AI149,DropINTable!AH149)</f>
        <v>1050.4396314863461</v>
      </c>
      <c r="K200" s="46">
        <f>IF(+DropINTable!AI149=0,DropINTable!AJ149,DropINTable!AI149)</f>
        <v>1124.7488451830916</v>
      </c>
      <c r="L200" s="46">
        <f>IF(+DropINTable!AJ149=0,DropINTable!AK149,DropINTable!AJ149)</f>
        <v>1214.024882175672</v>
      </c>
      <c r="M200" s="46">
        <f>IF(+DropINTable!AK149=0,DropINTable!AL149,DropINTable!AK149)</f>
        <v>1261.290609851377</v>
      </c>
      <c r="N200" s="46">
        <f>IF(+DropINTable!AL149=0,DropINTable!AM149,DropINTable!AL149)</f>
        <v>1316.548261459176</v>
      </c>
      <c r="O200" s="46">
        <f>IF(+DropINTable!AM149=0,DropINTable!AN149,DropINTable!AM149)</f>
        <v>1448.5111546683395</v>
      </c>
      <c r="P200" s="46">
        <f>IF(+DropINTable!AN149=0,DropINTable!AO149,DropINTable!AN149)</f>
        <v>1604.4999326023265</v>
      </c>
      <c r="Q200" s="46">
        <f>IF(+DropINTable!AO149=0,DropINTable!AP149,DropINTable!AO149)</f>
        <v>1641.6804215669406</v>
      </c>
      <c r="R200" s="46"/>
      <c r="S200" s="113"/>
      <c r="T200" s="113"/>
      <c r="U200" s="113"/>
      <c r="V200" s="113"/>
      <c r="W200" s="113"/>
      <c r="X200" s="113"/>
      <c r="Y200" s="113"/>
      <c r="Z200" s="113"/>
      <c r="AA200" s="113"/>
      <c r="AB200" s="113"/>
      <c r="AC200" s="113"/>
      <c r="AD200" s="113"/>
      <c r="AE200" s="113"/>
      <c r="AF200" s="113"/>
      <c r="AG200" s="113"/>
      <c r="AH200" s="113"/>
      <c r="AI200" s="113"/>
      <c r="AJ200" s="113"/>
      <c r="AK200" s="113"/>
      <c r="AL200" s="113"/>
      <c r="AM200" s="113"/>
      <c r="AN200" s="113"/>
    </row>
    <row r="201" spans="1:40" x14ac:dyDescent="0.2">
      <c r="A201" t="s">
        <v>1091</v>
      </c>
      <c r="B201" s="86" t="s">
        <v>1092</v>
      </c>
      <c r="C201" t="str">
        <f t="shared" si="67"/>
        <v>Hobart2+3</v>
      </c>
      <c r="D201" s="46">
        <f t="shared" ref="D201" si="69">+F201</f>
        <v>928.11862247918259</v>
      </c>
      <c r="E201" s="46">
        <f>+F201</f>
        <v>928.11862247918259</v>
      </c>
      <c r="F201" s="46">
        <f>IF(+DropINTable!AD150=0,DropINTable!AE150,DropINTable!AD150)</f>
        <v>928.11862247918259</v>
      </c>
      <c r="G201" s="46">
        <f>IF(+DropINTable!AE150=0,DropINTable!AF150,DropINTable!AE150)</f>
        <v>928.11862247918259</v>
      </c>
      <c r="H201" s="46">
        <f>IF(+DropINTable!AF150=0,DropINTable!AG150,DropINTable!AF150)</f>
        <v>971.91443633715187</v>
      </c>
      <c r="I201" s="46">
        <f>IF(+DropINTable!AG150=0,DropINTable!AH150,DropINTable!AG150)</f>
        <v>1032.3978142233423</v>
      </c>
      <c r="J201" s="46">
        <f>IF(+DropINTable!AH150=0,DropINTable!AI150,DropINTable!AH150)</f>
        <v>1120.2399491258152</v>
      </c>
      <c r="K201" s="46">
        <f>IF(+DropINTable!AI150=0,DropINTable!AJ150,DropINTable!AI150)</f>
        <v>1194.8019352092338</v>
      </c>
      <c r="L201" s="46">
        <f>IF(+DropINTable!AJ150=0,DropINTable!AK150,DropINTable!AJ150)</f>
        <v>1284.3816557845389</v>
      </c>
      <c r="M201" s="46">
        <f>IF(+DropINTable!AK150=0,DropINTable!AL150,DropINTable!AK150)</f>
        <v>1331.8081644313481</v>
      </c>
      <c r="N201" s="46">
        <f>IF(+DropINTable!AL150=0,DropINTable!AM150,DropINTable!AL150)</f>
        <v>1387.2537835163803</v>
      </c>
      <c r="O201" s="46">
        <f>IF(+DropINTable!AM150=0,DropINTable!AN150,DropINTable!AM150)</f>
        <v>1519.6655698255158</v>
      </c>
      <c r="P201" s="46">
        <f>IF(+DropINTable!AN150=0,DropINTable!AO150,DropINTable!AN150)</f>
        <v>1676.1849614065748</v>
      </c>
      <c r="Q201" s="46">
        <f>IF(+DropINTable!AO150=0,DropINTable!AP150,DropINTable!AO150)</f>
        <v>1713.4919251916208</v>
      </c>
      <c r="R201" s="46"/>
      <c r="S201" s="113"/>
      <c r="T201" s="113"/>
      <c r="U201" s="113"/>
      <c r="V201" s="113"/>
      <c r="W201" s="113"/>
      <c r="X201" s="113"/>
      <c r="Y201" s="113"/>
      <c r="Z201" s="113"/>
      <c r="AA201" s="113"/>
      <c r="AB201" s="113"/>
      <c r="AC201" s="113"/>
      <c r="AD201" s="113"/>
      <c r="AE201" s="113"/>
      <c r="AF201" s="113"/>
      <c r="AG201" s="113"/>
      <c r="AH201" s="113"/>
      <c r="AI201" s="113"/>
      <c r="AJ201" s="113"/>
      <c r="AK201" s="113"/>
      <c r="AL201" s="113"/>
      <c r="AM201" s="113"/>
      <c r="AN201" s="113"/>
    </row>
    <row r="202" spans="1:40" x14ac:dyDescent="0.2">
      <c r="B202" s="86" t="s">
        <v>1093</v>
      </c>
      <c r="C202" t="str">
        <f t="shared" ref="C202:C204" si="70">+CONCATENATE(A$197,B202)</f>
        <v>Hobart2+4</v>
      </c>
      <c r="D202" s="46">
        <f>+D201+Per_child_accounting!$AD$105</f>
        <v>1022.7664683010729</v>
      </c>
      <c r="E202" s="46">
        <f>+E201+Per_child_accounting!$AD$105</f>
        <v>1022.7664683010729</v>
      </c>
      <c r="F202" s="46">
        <f>+F201+Per_child_accounting!AD$105</f>
        <v>1022.7664683010729</v>
      </c>
      <c r="G202" s="46">
        <f>+G201+Per_child_accounting!AE$105</f>
        <v>1022.7437548805852</v>
      </c>
      <c r="H202" s="46">
        <f>+H201+Per_child_accounting!AF$105</f>
        <v>1066.4982706254114</v>
      </c>
      <c r="I202" s="46">
        <f>+I201+Per_child_accounting!AG$105</f>
        <v>1126.9246183586947</v>
      </c>
      <c r="J202" s="46">
        <f>+J201+Per_child_accounting!AH$105</f>
        <v>1214.6839214365696</v>
      </c>
      <c r="K202" s="46">
        <f>+K201+Per_child_accounting!AI$105</f>
        <v>1289.1756012490969</v>
      </c>
      <c r="L202" s="46">
        <f>+L201+Per_child_accounting!AJ$105</f>
        <v>1378.6708485069485</v>
      </c>
      <c r="M202" s="46">
        <f>+M201+Per_child_accounting!AK$105</f>
        <v>1426.0526393459354</v>
      </c>
      <c r="N202" s="46">
        <f>+N201+Per_child_accounting!AL$105</f>
        <v>1481.4459757196425</v>
      </c>
      <c r="O202" s="46">
        <f>+O201+Per_child_accounting!AM$105</f>
        <v>1613.7329048948336</v>
      </c>
      <c r="P202" s="46">
        <f>+P201+Per_child_accounting!AN$105</f>
        <v>1770.1047059689431</v>
      </c>
      <c r="Q202" s="46">
        <f>+Q201+Per_child_accounting!AO$105</f>
        <v>1807.3764885232258</v>
      </c>
      <c r="R202" s="46"/>
      <c r="S202" s="113"/>
      <c r="T202" s="113"/>
      <c r="U202" s="113"/>
      <c r="V202" s="113"/>
      <c r="W202" s="113"/>
      <c r="X202" s="113"/>
      <c r="Y202" s="113"/>
      <c r="Z202" s="113"/>
      <c r="AA202" s="113"/>
      <c r="AB202" s="113"/>
      <c r="AC202" s="113"/>
      <c r="AD202" s="113"/>
      <c r="AE202" s="113"/>
      <c r="AF202" s="113"/>
      <c r="AG202" s="113"/>
      <c r="AH202" s="113"/>
      <c r="AI202" s="113"/>
      <c r="AJ202" s="113"/>
      <c r="AK202" s="113"/>
      <c r="AL202" s="113"/>
      <c r="AM202" s="113"/>
      <c r="AN202" s="113"/>
    </row>
    <row r="203" spans="1:40" x14ac:dyDescent="0.2">
      <c r="B203" s="86" t="s">
        <v>1094</v>
      </c>
      <c r="C203" t="str">
        <f t="shared" si="70"/>
        <v>Hobart2+5</v>
      </c>
      <c r="D203" s="46">
        <f>+D202+Per_child_accounting!$AD$105</f>
        <v>1117.4143141229633</v>
      </c>
      <c r="E203" s="46">
        <f>+E202+Per_child_accounting!$AD$105</f>
        <v>1117.4143141229633</v>
      </c>
      <c r="F203" s="46">
        <f>+F202+Per_child_accounting!$AD$105</f>
        <v>1117.4143141229633</v>
      </c>
      <c r="G203" s="46">
        <f>+G202+Per_child_accounting!AE$105</f>
        <v>1117.368887281988</v>
      </c>
      <c r="H203" s="46">
        <f>+H202+Per_child_accounting!AF$105</f>
        <v>1161.0821049136707</v>
      </c>
      <c r="I203" s="46">
        <f>+I202+Per_child_accounting!AG$105</f>
        <v>1221.4514224940472</v>
      </c>
      <c r="J203" s="46">
        <f>+J202+Per_child_accounting!AH$105</f>
        <v>1309.1278937473239</v>
      </c>
      <c r="K203" s="46">
        <f>+K202+Per_child_accounting!AI$105</f>
        <v>1383.54926728896</v>
      </c>
      <c r="L203" s="46">
        <f>+L202+Per_child_accounting!AJ$105</f>
        <v>1472.960041229358</v>
      </c>
      <c r="M203" s="46">
        <f>+M202+Per_child_accounting!AK$105</f>
        <v>1520.2971142605227</v>
      </c>
      <c r="N203" s="46">
        <f>+N202+Per_child_accounting!AL$105</f>
        <v>1575.6381679229048</v>
      </c>
      <c r="O203" s="46">
        <f>+O202+Per_child_accounting!AM$105</f>
        <v>1707.8002399641514</v>
      </c>
      <c r="P203" s="46">
        <f>+P202+Per_child_accounting!AN$105</f>
        <v>1864.0244505313115</v>
      </c>
      <c r="Q203" s="46">
        <f>+Q202+Per_child_accounting!AO$105</f>
        <v>1901.2610518548308</v>
      </c>
      <c r="R203" s="46"/>
      <c r="S203" s="113"/>
      <c r="T203" s="113"/>
      <c r="U203" s="113"/>
      <c r="V203" s="113"/>
      <c r="W203" s="113"/>
      <c r="X203" s="113"/>
      <c r="Y203" s="113"/>
      <c r="Z203" s="113"/>
      <c r="AA203" s="113"/>
      <c r="AB203" s="113"/>
      <c r="AC203" s="113"/>
      <c r="AD203" s="113"/>
      <c r="AE203" s="113"/>
      <c r="AF203" s="113"/>
      <c r="AG203" s="113"/>
      <c r="AH203" s="113"/>
      <c r="AI203" s="113"/>
      <c r="AJ203" s="113"/>
      <c r="AK203" s="113"/>
      <c r="AL203" s="113"/>
      <c r="AM203" s="113"/>
      <c r="AN203" s="113"/>
    </row>
    <row r="204" spans="1:40" x14ac:dyDescent="0.2">
      <c r="B204" s="86" t="s">
        <v>1095</v>
      </c>
      <c r="C204" t="str">
        <f t="shared" si="70"/>
        <v>Hobart2+6</v>
      </c>
      <c r="D204" s="46">
        <f>+D203+Per_child_accounting!$AD$105</f>
        <v>1212.0621599448536</v>
      </c>
      <c r="E204" s="46">
        <f>+E203+Per_child_accounting!$AD$105</f>
        <v>1212.0621599448536</v>
      </c>
      <c r="F204" s="46">
        <f>+F203+Per_child_accounting!$AD$105</f>
        <v>1212.0621599448536</v>
      </c>
      <c r="G204" s="46">
        <f>+G203+Per_child_accounting!AE$105</f>
        <v>1211.9940196833907</v>
      </c>
      <c r="H204" s="46">
        <f>+H203+Per_child_accounting!AF$105</f>
        <v>1255.6659392019301</v>
      </c>
      <c r="I204" s="46">
        <f>+I203+Per_child_accounting!AG$105</f>
        <v>1315.9782266293996</v>
      </c>
      <c r="J204" s="46">
        <f>+J203+Per_child_accounting!AH$105</f>
        <v>1403.5718660580783</v>
      </c>
      <c r="K204" s="46">
        <f>+K203+Per_child_accounting!AI$105</f>
        <v>1477.9229333288231</v>
      </c>
      <c r="L204" s="46">
        <f>+L203+Per_child_accounting!AJ$105</f>
        <v>1567.2492339517676</v>
      </c>
      <c r="M204" s="46">
        <f>+M203+Per_child_accounting!AK$105</f>
        <v>1614.5415891751099</v>
      </c>
      <c r="N204" s="46">
        <f>+N203+Per_child_accounting!AL$105</f>
        <v>1669.8303601261671</v>
      </c>
      <c r="O204" s="46">
        <f>+O203+Per_child_accounting!AM$105</f>
        <v>1801.8675750334692</v>
      </c>
      <c r="P204" s="46">
        <f>+P203+Per_child_accounting!AN$105</f>
        <v>1957.9441950936798</v>
      </c>
      <c r="Q204" s="46">
        <f>+Q203+Per_child_accounting!AO$105</f>
        <v>1995.1456151864359</v>
      </c>
      <c r="R204" s="46"/>
      <c r="S204" s="113"/>
      <c r="T204" s="113"/>
      <c r="U204" s="113"/>
      <c r="V204" s="113"/>
      <c r="W204" s="113"/>
      <c r="X204" s="113"/>
      <c r="Y204" s="113"/>
      <c r="Z204" s="113"/>
      <c r="AA204" s="113"/>
      <c r="AB204" s="113"/>
      <c r="AC204" s="113"/>
      <c r="AD204" s="113"/>
      <c r="AE204" s="113"/>
      <c r="AF204" s="113"/>
      <c r="AG204" s="113"/>
      <c r="AH204" s="113"/>
      <c r="AI204" s="113"/>
      <c r="AJ204" s="113"/>
      <c r="AK204" s="113"/>
      <c r="AL204" s="113"/>
      <c r="AM204" s="113"/>
      <c r="AN204" s="113"/>
    </row>
    <row r="205" spans="1:40" x14ac:dyDescent="0.2">
      <c r="B205" s="86"/>
      <c r="D205" s="46"/>
      <c r="E205" s="46"/>
      <c r="F205" s="46"/>
      <c r="G205" s="46"/>
      <c r="H205" s="46"/>
      <c r="I205" s="46"/>
      <c r="J205" s="46"/>
      <c r="K205" s="46"/>
      <c r="L205" s="46"/>
      <c r="M205" s="46"/>
      <c r="N205" s="46"/>
      <c r="O205" s="46"/>
      <c r="P205" s="46"/>
      <c r="Q205" s="46"/>
      <c r="R205" s="46"/>
      <c r="S205" s="113"/>
      <c r="T205" s="113"/>
      <c r="U205" s="113"/>
      <c r="V205" s="113"/>
      <c r="W205" s="113"/>
      <c r="X205" s="113"/>
      <c r="Y205" s="113"/>
      <c r="Z205" s="113"/>
      <c r="AA205" s="113"/>
      <c r="AB205" s="113"/>
      <c r="AC205" s="113"/>
      <c r="AD205" s="113"/>
      <c r="AE205" s="113"/>
      <c r="AF205" s="113"/>
      <c r="AG205" s="113"/>
      <c r="AH205" s="113"/>
      <c r="AI205" s="113"/>
      <c r="AJ205" s="113"/>
      <c r="AK205" s="113"/>
      <c r="AL205" s="113"/>
      <c r="AM205" s="113"/>
      <c r="AN205" s="113"/>
    </row>
    <row r="206" spans="1:40" x14ac:dyDescent="0.2">
      <c r="A206" t="s">
        <v>1096</v>
      </c>
      <c r="B206" s="86" t="s">
        <v>1097</v>
      </c>
      <c r="C206" t="str">
        <f t="shared" si="67"/>
        <v>Hobart1+0</v>
      </c>
      <c r="D206" s="46">
        <f>IF(+DropINTable!AB152=0,DropINTable!AC152,DropINTable!AB152)</f>
        <v>341.76926489123122</v>
      </c>
      <c r="E206" s="46">
        <f>IF(+DropINTable!AC152=0,DropINTable!AD152,DropINTable!AC152)</f>
        <v>358.91052019863707</v>
      </c>
      <c r="F206" s="46">
        <f>IF(+DropINTable!AD152=0,DropINTable!AE152,DropINTable!AD152)</f>
        <v>375.05884525169688</v>
      </c>
      <c r="G206" s="46">
        <f>IF(+DropINTable!AE152=0,DropINTable!AF152,DropINTable!AE152)</f>
        <v>398.76262728996795</v>
      </c>
      <c r="H206" s="46">
        <f>IF(+DropINTable!AF152=0,DropINTable!AG152,DropINTable!AF152)</f>
        <v>441.86340810812942</v>
      </c>
      <c r="I206" s="46">
        <f>IF(+DropINTable!AG152=0,DropINTable!AH152,DropINTable!AG152)</f>
        <v>501.38692228489555</v>
      </c>
      <c r="J206" s="46">
        <f>IF(+DropINTable!AH152=0,DropINTable!AI152,DropINTable!AH152)</f>
        <v>587.8350122656143</v>
      </c>
      <c r="K206" s="46">
        <f>IF(+DropINTable!AI152=0,DropINTable!AJ152,DropINTable!AI152)</f>
        <v>661.21370940407735</v>
      </c>
      <c r="L206" s="46">
        <f>IF(+DropINTable!AJ152=0,DropINTable!AK152,DropINTable!AJ152)</f>
        <v>749.371810199994</v>
      </c>
      <c r="M206" s="46">
        <f>IF(+DropINTable!AK152=0,DropINTable!AL152,DropINTable!AK152)</f>
        <v>796.04566766108678</v>
      </c>
      <c r="N206" s="46">
        <f>IF(+DropINTable!AL152=0,DropINTable!AM152,DropINTable!AL152)</f>
        <v>850.61137019144724</v>
      </c>
      <c r="O206" s="46">
        <f>IF(+DropINTable!AM152=0,DropINTable!AN152,DropINTable!AM152)</f>
        <v>980.92179437096297</v>
      </c>
      <c r="P206" s="46">
        <f>IF(+DropINTable!AN152=0,DropINTable!AO152,DropINTable!AN152)</f>
        <v>1134.9572445130325</v>
      </c>
      <c r="Q206" s="46">
        <f>IF(+DropINTable!AO152=0,DropINTable!AP152,DropINTable!AO152)</f>
        <v>1171.6721509163719</v>
      </c>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row>
    <row r="207" spans="1:40" x14ac:dyDescent="0.2">
      <c r="A207" t="s">
        <v>1098</v>
      </c>
      <c r="B207" s="86" t="s">
        <v>1099</v>
      </c>
      <c r="C207" t="str">
        <f t="shared" si="67"/>
        <v>Hobart1+1</v>
      </c>
      <c r="D207" s="46">
        <f>IF(+DropINTable!AB153=0,DropINTable!AC153,DropINTable!AB153)</f>
        <v>458.33238064726635</v>
      </c>
      <c r="E207" s="46">
        <f>IF(+DropINTable!AC153=0,DropINTable!AD153,DropINTable!AC153)</f>
        <v>458.33238064726635</v>
      </c>
      <c r="F207" s="46">
        <f>IF(+DropINTable!AD153=0,DropINTable!AE153,DropINTable!AD153)</f>
        <v>474.3801698857315</v>
      </c>
      <c r="G207" s="46">
        <f>IF(+DropINTable!AE153=0,DropINTable!AF153,DropINTable!AE153)</f>
        <v>497.9363786374393</v>
      </c>
      <c r="H207" s="46">
        <f>IF(+DropINTable!AF153=0,DropINTable!AG153,DropINTable!AF153)</f>
        <v>540.76882416962951</v>
      </c>
      <c r="I207" s="46">
        <f>IF(+DropINTable!AG153=0,DropINTable!AH153,DropINTable!AG153)</f>
        <v>599.92175825152401</v>
      </c>
      <c r="J207" s="46">
        <f>IF(+DropINTable!AH153=0,DropINTable!AI153,DropINTable!AH153)</f>
        <v>685.83164276227706</v>
      </c>
      <c r="K207" s="46">
        <f>IF(+DropINTable!AI153=0,DropINTable!AJ153,DropINTable!AI153)</f>
        <v>758.75350247972403</v>
      </c>
      <c r="L207" s="46">
        <f>IF(+DropINTable!AJ153=0,DropINTable!AK153,DropINTable!AJ153)</f>
        <v>846.36275104187143</v>
      </c>
      <c r="M207" s="46">
        <f>IF(+DropINTable!AK153=0,DropINTable!AL153,DropINTable!AK153)</f>
        <v>892.74603102929268</v>
      </c>
      <c r="N207" s="46">
        <f>IF(+DropINTable!AL153=0,DropINTable!AM153,DropINTable!AL153)</f>
        <v>946.97201744471954</v>
      </c>
      <c r="O207" s="46">
        <f>IF(+DropINTable!AM153=0,DropINTable!AN153,DropINTable!AM153)</f>
        <v>1076.4711643738469</v>
      </c>
      <c r="P207" s="46">
        <f>IF(+DropINTable!AN153=0,DropINTable!AO153,DropINTable!AN153)</f>
        <v>1229.5476257771418</v>
      </c>
      <c r="Q207" s="46">
        <f>IF(+DropINTable!AO153=0,DropINTable!AP153,DropINTable!AO153)</f>
        <v>1266.0339512356693</v>
      </c>
      <c r="R207" s="113"/>
      <c r="S207" s="113"/>
      <c r="T207" s="113"/>
      <c r="U207" s="113"/>
      <c r="V207" s="113"/>
      <c r="W207" s="113"/>
      <c r="X207" s="113"/>
      <c r="Y207" s="113"/>
      <c r="Z207" s="113"/>
      <c r="AA207" s="113"/>
      <c r="AB207" s="113"/>
      <c r="AC207" s="113"/>
      <c r="AD207" s="113"/>
      <c r="AE207" s="113"/>
      <c r="AF207" s="113"/>
      <c r="AG207" s="113"/>
      <c r="AH207" s="113"/>
      <c r="AI207" s="113"/>
      <c r="AJ207" s="113"/>
      <c r="AK207" s="113"/>
      <c r="AL207" s="113"/>
      <c r="AM207" s="113"/>
      <c r="AN207" s="113"/>
    </row>
    <row r="208" spans="1:40" x14ac:dyDescent="0.2">
      <c r="A208" t="s">
        <v>1100</v>
      </c>
      <c r="B208" s="86" t="s">
        <v>1101</v>
      </c>
      <c r="C208" t="str">
        <f t="shared" si="67"/>
        <v>Hobart1+2</v>
      </c>
      <c r="D208" s="46">
        <f>IF(+DropINTable!AB154=0,DropINTable!AC154,DropINTable!AB154)</f>
        <v>576.10128870144149</v>
      </c>
      <c r="E208" s="46">
        <f>IF(+DropINTable!AC154=0,DropINTable!AD154,DropINTable!AC154)</f>
        <v>576.10128870144149</v>
      </c>
      <c r="F208" s="46">
        <f>IF(+DropINTable!AD154=0,DropINTable!AE154,DropINTable!AD154)</f>
        <v>592.16033946995083</v>
      </c>
      <c r="G208" s="46">
        <f>IF(+DropINTable!AE154=0,DropINTable!AF154,DropINTable!AE154)</f>
        <v>615.73308849493719</v>
      </c>
      <c r="H208" s="46">
        <f>IF(+DropINTable!AF154=0,DropINTable!AG154,DropINTable!AF154)</f>
        <v>658.59560330129932</v>
      </c>
      <c r="I208" s="46">
        <f>IF(+DropINTable!AG154=0,DropINTable!AH154,DropINTable!AG154)</f>
        <v>717.79006123162071</v>
      </c>
      <c r="J208" s="46">
        <f>IF(+DropINTable!AH154=0,DropINTable!AI154,DropINTable!AH154)</f>
        <v>803.76025506386168</v>
      </c>
      <c r="K208" s="46">
        <f>IF(+DropINTable!AI154=0,DropINTable!AJ154,DropINTable!AI154)</f>
        <v>876.73330617224713</v>
      </c>
      <c r="L208" s="46">
        <f>IF(+DropINTable!AJ154=0,DropINTable!AK154,DropINTable!AJ154)</f>
        <v>964.40405856962491</v>
      </c>
      <c r="M208" s="46">
        <f>IF(+DropINTable!AK154=0,DropINTable!AL154,DropINTable!AK154)</f>
        <v>1010.8198972651489</v>
      </c>
      <c r="N208" s="46">
        <f>IF(+DropINTable!AL154=0,DropINTable!AM154,DropINTable!AL154)</f>
        <v>1065.0839552963739</v>
      </c>
      <c r="O208" s="46">
        <f>IF(+DropINTable!AM154=0,DropINTable!AN154,DropINTable!AM154)</f>
        <v>1194.6740044579915</v>
      </c>
      <c r="P208" s="46">
        <f>IF(+DropINTable!AN154=0,DropINTable!AO154,DropINTable!AN154)</f>
        <v>1347.8579280846359</v>
      </c>
      <c r="Q208" s="46">
        <f>IF(+DropINTable!AO154=0,DropINTable!AP154,DropINTable!AO154)</f>
        <v>1384.3698717865286</v>
      </c>
      <c r="R208" s="113"/>
      <c r="S208" s="113"/>
      <c r="T208" s="113"/>
      <c r="U208" s="113"/>
      <c r="V208" s="113"/>
      <c r="W208" s="113"/>
      <c r="X208" s="113"/>
      <c r="Y208" s="113"/>
      <c r="Z208" s="113"/>
      <c r="AA208" s="113"/>
      <c r="AB208" s="113"/>
      <c r="AC208" s="113"/>
      <c r="AD208" s="113"/>
      <c r="AE208" s="113"/>
      <c r="AF208" s="113"/>
      <c r="AG208" s="113"/>
      <c r="AH208" s="113"/>
      <c r="AI208" s="113"/>
      <c r="AJ208" s="113"/>
      <c r="AK208" s="113"/>
      <c r="AL208" s="113"/>
      <c r="AM208" s="113"/>
      <c r="AN208" s="113"/>
    </row>
    <row r="209" spans="1:40" x14ac:dyDescent="0.2">
      <c r="A209" t="s">
        <v>1102</v>
      </c>
      <c r="B209" s="86" t="s">
        <v>1103</v>
      </c>
      <c r="C209" t="str">
        <f t="shared" si="67"/>
        <v>Hobart1+3</v>
      </c>
      <c r="D209" s="46">
        <f t="shared" ref="D209" si="71">+E209</f>
        <v>709.94050905417021</v>
      </c>
      <c r="E209" s="46">
        <f>IF(+DropINTable!AC155=0,DropINTable!AD155,DropINTable!AC155)</f>
        <v>709.94050905417021</v>
      </c>
      <c r="F209" s="46">
        <f>IF(+DropINTable!AD155=0,DropINTable!AE155,DropINTable!AD155)</f>
        <v>709.94050905417021</v>
      </c>
      <c r="G209" s="46">
        <f>IF(+DropINTable!AE155=0,DropINTable!AF155,DropINTable!AE155)</f>
        <v>733.52979835243514</v>
      </c>
      <c r="H209" s="46">
        <f>IF(+DropINTable!AF155=0,DropINTable!AG155,DropINTable!AF155)</f>
        <v>776.42238243296913</v>
      </c>
      <c r="I209" s="46">
        <f>IF(+DropINTable!AG155=0,DropINTable!AH155,DropINTable!AG155)</f>
        <v>835.65836421171741</v>
      </c>
      <c r="J209" s="46">
        <f>IF(+DropINTable!AH155=0,DropINTable!AI155,DropINTable!AH155)</f>
        <v>921.6888673654463</v>
      </c>
      <c r="K209" s="46">
        <f>IF(+DropINTable!AI155=0,DropINTable!AJ155,DropINTable!AI155)</f>
        <v>994.71310986477022</v>
      </c>
      <c r="L209" s="46">
        <f>IF(+DropINTable!AJ155=0,DropINTable!AK155,DropINTable!AJ155)</f>
        <v>1082.4453660973784</v>
      </c>
      <c r="M209" s="46">
        <f>IF(+DropINTable!AK155=0,DropINTable!AL155,DropINTable!AK155)</f>
        <v>1128.8937635010052</v>
      </c>
      <c r="N209" s="46">
        <f>IF(+DropINTable!AL155=0,DropINTable!AM155,DropINTable!AL155)</f>
        <v>1183.1958931480283</v>
      </c>
      <c r="O209" s="46">
        <f>IF(+DropINTable!AM155=0,DropINTable!AN155,DropINTable!AM155)</f>
        <v>1312.876844542136</v>
      </c>
      <c r="P209" s="46">
        <f>IF(+DropINTable!AN155=0,DropINTable!AO155,DropINTable!AN155)</f>
        <v>1466.16823039213</v>
      </c>
      <c r="Q209" s="46">
        <f>IF(+DropINTable!AO155=0,DropINTable!AP155,DropINTable!AO155)</f>
        <v>1502.7057923373879</v>
      </c>
      <c r="R209" s="113"/>
      <c r="S209" s="113"/>
      <c r="T209" s="113"/>
      <c r="U209" s="113"/>
      <c r="V209" s="113"/>
      <c r="W209" s="113"/>
      <c r="X209" s="113"/>
      <c r="Y209" s="113"/>
      <c r="Z209" s="113"/>
      <c r="AA209" s="113"/>
      <c r="AB209" s="113"/>
      <c r="AC209" s="113"/>
      <c r="AD209" s="113"/>
      <c r="AE209" s="113"/>
      <c r="AF209" s="113"/>
      <c r="AG209" s="113"/>
      <c r="AH209" s="113"/>
      <c r="AI209" s="113"/>
      <c r="AJ209" s="113"/>
      <c r="AK209" s="113"/>
      <c r="AL209" s="113"/>
      <c r="AM209" s="113"/>
      <c r="AN209" s="113"/>
    </row>
    <row r="210" spans="1:40" x14ac:dyDescent="0.2">
      <c r="B210" s="86" t="s">
        <v>1104</v>
      </c>
      <c r="C210" t="str">
        <f t="shared" ref="C210:C212" si="72">+CONCATENATE(A$197,B210)</f>
        <v>Hobart1+4</v>
      </c>
      <c r="D210" s="46">
        <f>+D209+Per_child_accounting!AC$108</f>
        <v>809.36236950279954</v>
      </c>
      <c r="E210" s="46">
        <f>+E209+Per_child_accounting!AC$108</f>
        <v>809.36236950279954</v>
      </c>
      <c r="F210" s="46">
        <f>+F209+Per_child_accounting!AD$108</f>
        <v>809.26183368820489</v>
      </c>
      <c r="G210" s="46">
        <f>+G209+Per_child_accounting!AE$108</f>
        <v>832.70354969990649</v>
      </c>
      <c r="H210" s="46">
        <f>+H209+Per_child_accounting!AF$108</f>
        <v>875.32779849446922</v>
      </c>
      <c r="I210" s="46">
        <f>+I209+Per_child_accounting!AG$108</f>
        <v>934.19320017834593</v>
      </c>
      <c r="J210" s="46">
        <f>+J209+Per_child_accounting!AH$108</f>
        <v>1019.6854978621091</v>
      </c>
      <c r="K210" s="46">
        <f>+K209+Per_child_accounting!AI$108</f>
        <v>1092.2529029404168</v>
      </c>
      <c r="L210" s="46">
        <f>+L209+Per_child_accounting!AJ$108</f>
        <v>1179.4363069392557</v>
      </c>
      <c r="M210" s="46">
        <f>+M209+Per_child_accounting!AK$108</f>
        <v>1225.5941268692111</v>
      </c>
      <c r="N210" s="46">
        <f>+N209+Per_child_accounting!AL$108</f>
        <v>1279.5565404013005</v>
      </c>
      <c r="O210" s="46">
        <f>+O209+Per_child_accounting!AM$108</f>
        <v>1408.42621454502</v>
      </c>
      <c r="P210" s="46">
        <f>+P209+Per_child_accounting!AN$108</f>
        <v>1560.7586116562393</v>
      </c>
      <c r="Q210" s="46">
        <f>+Q209+Per_child_accounting!AO$108</f>
        <v>1597.0675926566853</v>
      </c>
      <c r="R210" s="113"/>
      <c r="S210" s="113"/>
      <c r="T210" s="113"/>
      <c r="U210" s="113"/>
      <c r="V210" s="113"/>
      <c r="W210" s="113"/>
      <c r="X210" s="113"/>
      <c r="Y210" s="113"/>
      <c r="Z210" s="113"/>
      <c r="AA210" s="113"/>
      <c r="AB210" s="113"/>
      <c r="AC210" s="113"/>
      <c r="AD210" s="113"/>
      <c r="AE210" s="113"/>
      <c r="AF210" s="113"/>
      <c r="AG210" s="113"/>
      <c r="AH210" s="113"/>
      <c r="AI210" s="113"/>
      <c r="AJ210" s="113"/>
      <c r="AK210" s="113"/>
      <c r="AL210" s="113"/>
      <c r="AM210" s="113"/>
      <c r="AN210" s="113"/>
    </row>
    <row r="211" spans="1:40" x14ac:dyDescent="0.2">
      <c r="B211" s="86" t="s">
        <v>1105</v>
      </c>
      <c r="C211" t="str">
        <f t="shared" si="72"/>
        <v>Hobart1+5</v>
      </c>
      <c r="D211" s="46">
        <f>+D210+Per_child_accounting!AC$108</f>
        <v>908.78422995142887</v>
      </c>
      <c r="E211" s="46">
        <f>+E210+Per_child_accounting!AC$108</f>
        <v>908.78422995142887</v>
      </c>
      <c r="F211" s="46">
        <f>+F210+Per_child_accounting!AD$108</f>
        <v>908.58315832223957</v>
      </c>
      <c r="G211" s="46">
        <f>+G210+Per_child_accounting!AE$108</f>
        <v>931.87730104737784</v>
      </c>
      <c r="H211" s="46">
        <f>+H210+Per_child_accounting!AF$108</f>
        <v>974.23321455596931</v>
      </c>
      <c r="I211" s="46">
        <f>+I210+Per_child_accounting!AG$108</f>
        <v>1032.7280361449743</v>
      </c>
      <c r="J211" s="46">
        <f>+J210+Per_child_accounting!AH$108</f>
        <v>1117.6821283587719</v>
      </c>
      <c r="K211" s="46">
        <f>+K210+Per_child_accounting!AI$108</f>
        <v>1189.7926960160635</v>
      </c>
      <c r="L211" s="46">
        <f>+L210+Per_child_accounting!AJ$108</f>
        <v>1276.4272477811332</v>
      </c>
      <c r="M211" s="46">
        <f>+M210+Per_child_accounting!AK$108</f>
        <v>1322.294490237417</v>
      </c>
      <c r="N211" s="46">
        <f>+N210+Per_child_accounting!AL$108</f>
        <v>1375.9171876545729</v>
      </c>
      <c r="O211" s="46">
        <f>+O210+Per_child_accounting!AM$108</f>
        <v>1503.975584547904</v>
      </c>
      <c r="P211" s="46">
        <f>+P210+Per_child_accounting!AN$108</f>
        <v>1655.3489929203486</v>
      </c>
      <c r="Q211" s="46">
        <f>+Q210+Per_child_accounting!AO$108</f>
        <v>1691.4293929759826</v>
      </c>
      <c r="R211" s="113"/>
      <c r="S211" s="113"/>
      <c r="T211" s="113"/>
      <c r="U211" s="113"/>
      <c r="V211" s="113"/>
      <c r="W211" s="113"/>
      <c r="X211" s="113"/>
      <c r="Y211" s="113"/>
      <c r="Z211" s="113"/>
      <c r="AA211" s="113"/>
      <c r="AB211" s="113"/>
      <c r="AC211" s="113"/>
      <c r="AD211" s="113"/>
      <c r="AE211" s="113"/>
      <c r="AF211" s="113"/>
      <c r="AG211" s="113"/>
      <c r="AH211" s="113"/>
      <c r="AI211" s="113"/>
      <c r="AJ211" s="113"/>
      <c r="AK211" s="113"/>
      <c r="AL211" s="113"/>
      <c r="AM211" s="113"/>
      <c r="AN211" s="113"/>
    </row>
    <row r="212" spans="1:40" x14ac:dyDescent="0.2">
      <c r="B212" s="86" t="s">
        <v>1106</v>
      </c>
      <c r="C212" t="str">
        <f t="shared" si="72"/>
        <v>Hobart1+6</v>
      </c>
      <c r="D212" s="46">
        <f>+D211+Per_child_accounting!AC$108</f>
        <v>1008.2060904000582</v>
      </c>
      <c r="E212" s="46">
        <f>+E211+Per_child_accounting!AC$108</f>
        <v>1008.2060904000582</v>
      </c>
      <c r="F212" s="46">
        <f>+F211+Per_child_accounting!AD$108</f>
        <v>1007.9044829562743</v>
      </c>
      <c r="G212" s="46">
        <f>+G211+Per_child_accounting!AE$108</f>
        <v>1031.0510523948492</v>
      </c>
      <c r="H212" s="46">
        <f>+H211+Per_child_accounting!AF$108</f>
        <v>1073.1386306174695</v>
      </c>
      <c r="I212" s="46">
        <f>+I211+Per_child_accounting!AG$108</f>
        <v>1131.2628721116027</v>
      </c>
      <c r="J212" s="46">
        <f>+J211+Per_child_accounting!AH$108</f>
        <v>1215.6787588554348</v>
      </c>
      <c r="K212" s="46">
        <f>+K211+Per_child_accounting!AI$108</f>
        <v>1287.3324890917102</v>
      </c>
      <c r="L212" s="46">
        <f>+L211+Per_child_accounting!AJ$108</f>
        <v>1373.4181886230108</v>
      </c>
      <c r="M212" s="46">
        <f>+M211+Per_child_accounting!AK$108</f>
        <v>1418.9948536056229</v>
      </c>
      <c r="N212" s="46">
        <f>+N211+Per_child_accounting!AL$108</f>
        <v>1472.2778349078453</v>
      </c>
      <c r="O212" s="46">
        <f>+O211+Per_child_accounting!AM$108</f>
        <v>1599.5249545507879</v>
      </c>
      <c r="P212" s="46">
        <f>+P211+Per_child_accounting!AN$108</f>
        <v>1749.9393741844578</v>
      </c>
      <c r="Q212" s="46">
        <f>+Q211+Per_child_accounting!AO$108</f>
        <v>1785.79119329528</v>
      </c>
      <c r="R212" s="113"/>
      <c r="S212" s="113"/>
      <c r="T212" s="113"/>
      <c r="U212" s="113"/>
      <c r="V212" s="113"/>
      <c r="W212" s="113"/>
      <c r="X212" s="113"/>
      <c r="Y212" s="113"/>
      <c r="Z212" s="113"/>
      <c r="AA212" s="113"/>
      <c r="AB212" s="113"/>
      <c r="AC212" s="113"/>
      <c r="AD212" s="113"/>
      <c r="AE212" s="113"/>
      <c r="AF212" s="113"/>
      <c r="AG212" s="113"/>
      <c r="AH212" s="113"/>
      <c r="AI212" s="113"/>
      <c r="AJ212" s="113"/>
      <c r="AK212" s="113"/>
      <c r="AL212" s="113"/>
      <c r="AM212" s="113"/>
      <c r="AN212" s="113"/>
    </row>
    <row r="213" spans="1:40" x14ac:dyDescent="0.2">
      <c r="D213" s="46"/>
      <c r="E213" s="46"/>
      <c r="F213" s="46"/>
      <c r="G213" s="46"/>
      <c r="H213" s="46"/>
      <c r="I213" s="46"/>
      <c r="J213" s="46"/>
      <c r="K213" s="46"/>
      <c r="L213" s="46"/>
      <c r="M213" s="46"/>
      <c r="N213" s="46"/>
      <c r="O213" s="46"/>
      <c r="P213" s="46"/>
      <c r="Q213" s="46"/>
      <c r="R213" s="46"/>
      <c r="S213" s="113"/>
      <c r="T213" s="113"/>
      <c r="U213" s="113"/>
      <c r="V213" s="113"/>
      <c r="W213" s="113"/>
      <c r="X213" s="113"/>
      <c r="Y213" s="113"/>
      <c r="Z213" s="113"/>
      <c r="AA213" s="113"/>
      <c r="AB213" s="113"/>
      <c r="AC213" s="113"/>
      <c r="AD213" s="113"/>
      <c r="AE213" s="113"/>
      <c r="AF213" s="113"/>
      <c r="AG213" s="113"/>
      <c r="AH213" s="113"/>
      <c r="AI213" s="113"/>
      <c r="AJ213" s="113"/>
      <c r="AK213" s="113"/>
      <c r="AL213" s="113"/>
      <c r="AM213" s="113"/>
      <c r="AN213" s="113"/>
    </row>
    <row r="214" spans="1:40" ht="28.5" x14ac:dyDescent="0.45">
      <c r="A214" s="368" t="s">
        <v>241</v>
      </c>
      <c r="B214" s="368"/>
      <c r="C214" s="368"/>
      <c r="D214" s="46"/>
      <c r="E214" s="46"/>
      <c r="F214" s="46"/>
      <c r="G214" s="46"/>
      <c r="H214" s="46"/>
      <c r="I214" s="46"/>
      <c r="J214" s="46"/>
      <c r="K214" s="46"/>
      <c r="L214" s="46"/>
      <c r="M214" s="46"/>
      <c r="N214" s="46"/>
      <c r="O214" s="46"/>
      <c r="P214" s="46"/>
      <c r="Q214" s="46"/>
      <c r="R214" s="46"/>
      <c r="S214" s="113"/>
      <c r="T214" s="113"/>
      <c r="U214" s="113"/>
      <c r="V214" s="113"/>
      <c r="W214" s="113"/>
      <c r="X214" s="113"/>
      <c r="Y214" s="113"/>
      <c r="Z214" s="113"/>
      <c r="AA214" s="113"/>
      <c r="AB214" s="113"/>
      <c r="AC214" s="113"/>
      <c r="AD214" s="113"/>
      <c r="AE214" s="113"/>
      <c r="AF214" s="113"/>
      <c r="AG214" s="113"/>
      <c r="AH214" s="113"/>
      <c r="AI214" s="113"/>
      <c r="AJ214" s="113"/>
      <c r="AK214" s="113"/>
      <c r="AL214" s="113"/>
      <c r="AM214" s="113"/>
      <c r="AN214" s="113"/>
    </row>
    <row r="215" spans="1:40" x14ac:dyDescent="0.2">
      <c r="A215" t="s">
        <v>1085</v>
      </c>
      <c r="B215" s="86" t="s">
        <v>1086</v>
      </c>
      <c r="C215" t="str">
        <f>+CONCATENATE(A$214,B215)</f>
        <v>Balance of TAS2+0</v>
      </c>
      <c r="D215" s="46">
        <f>IF(+DropINTable!AB159=0,DropINTable!AC159,DropINTable!AB159)</f>
        <v>639.00311474824684</v>
      </c>
      <c r="E215" s="46">
        <f>IF(+DropINTable!AC159=0,DropINTable!AD159,DropINTable!AC159)</f>
        <v>639.00311474824684</v>
      </c>
      <c r="F215" s="46">
        <f>IF(+DropINTable!AD159=0,DropINTable!AE159,DropINTable!AD159)</f>
        <v>655.30821827977832</v>
      </c>
      <c r="G215" s="46">
        <f>IF(+DropINTable!AE159=0,DropINTable!AF159,DropINTable!AE159)</f>
        <v>679.24213394373191</v>
      </c>
      <c r="H215" s="46">
        <f>IF(+DropINTable!AF159=0,DropINTable!AG159,DropINTable!AF159)</f>
        <v>722.76136734619229</v>
      </c>
      <c r="I215" s="46">
        <f>IF(+DropINTable!AG159=0,DropINTable!AH159,DropINTable!AG159)</f>
        <v>782.86277627396237</v>
      </c>
      <c r="J215" s="46">
        <f>IF(+DropINTable!AH159=0,DropINTable!AI159,DropINTable!AH159)</f>
        <v>870.15016494314034</v>
      </c>
      <c r="K215" s="46">
        <f>IF(+DropINTable!AI159=0,DropINTable!AJ159,DropINTable!AI159)</f>
        <v>944.24127364366586</v>
      </c>
      <c r="L215" s="46">
        <f>IF(+DropINTable!AJ159=0,DropINTable!AK159,DropINTable!AJ159)</f>
        <v>1033.2552749268702</v>
      </c>
      <c r="M215" s="46">
        <f>IF(+DropINTable!AK159=0,DropINTable!AL159,DropINTable!AK159)</f>
        <v>1080.3822742122229</v>
      </c>
      <c r="N215" s="46">
        <f>IF(+DropINTable!AL159=0,DropINTable!AM159,DropINTable!AL159)</f>
        <v>1135.477738782256</v>
      </c>
      <c r="O215" s="46">
        <f>IF(+DropINTable!AM159=0,DropINTable!AN159,DropINTable!AM159)</f>
        <v>1267.053307596487</v>
      </c>
      <c r="P215" s="46">
        <f>IF(+DropINTable!AN159=0,DropINTable!AO159,DropINTable!AN159)</f>
        <v>1422.5842416174812</v>
      </c>
      <c r="Q215" s="46">
        <f>IF(+DropINTable!AO159=0,DropINTable!AP159,DropINTable!AO159)</f>
        <v>1459.6556005282434</v>
      </c>
      <c r="R215" s="113"/>
      <c r="S215" s="113"/>
      <c r="T215" s="113"/>
      <c r="U215" s="113"/>
      <c r="V215" s="113"/>
      <c r="W215" s="113"/>
      <c r="X215" s="113"/>
      <c r="Y215" s="113"/>
      <c r="Z215" s="113"/>
      <c r="AA215" s="113"/>
      <c r="AB215" s="113"/>
      <c r="AC215" s="113"/>
      <c r="AD215" s="113"/>
      <c r="AE215" s="113"/>
      <c r="AF215" s="113"/>
      <c r="AG215" s="113"/>
      <c r="AH215" s="113"/>
      <c r="AI215" s="113"/>
      <c r="AJ215" s="113"/>
      <c r="AK215" s="113"/>
      <c r="AL215" s="113"/>
      <c r="AM215" s="113"/>
      <c r="AN215" s="113"/>
    </row>
    <row r="216" spans="1:40" x14ac:dyDescent="0.2">
      <c r="A216" t="s">
        <v>1087</v>
      </c>
      <c r="B216" s="86" t="s">
        <v>1088</v>
      </c>
      <c r="C216" t="str">
        <f t="shared" ref="C216:C226" si="73">+CONCATENATE(A$214,B216)</f>
        <v>Balance of TAS2+1</v>
      </c>
      <c r="D216" s="46">
        <f t="shared" ref="D216:D217" si="74">+E216</f>
        <v>749.96234564117026</v>
      </c>
      <c r="E216" s="46">
        <f>IF(+DropINTable!AC160=0,DropINTable!AD160,DropINTable!AC160)</f>
        <v>749.96234564117026</v>
      </c>
      <c r="F216" s="46">
        <f>IF(+DropINTable!AD160=0,DropINTable!AE160,DropINTable!AD160)</f>
        <v>749.96234564117026</v>
      </c>
      <c r="G216" s="46">
        <f>IF(+DropINTable!AE160=0,DropINTable!AF160,DropINTable!AE160)</f>
        <v>773.87354704934353</v>
      </c>
      <c r="H216" s="46">
        <f>IF(+DropINTable!AF160=0,DropINTable!AG160,DropINTable!AF160)</f>
        <v>817.35148235026247</v>
      </c>
      <c r="I216" s="46">
        <f>IF(+DropINTable!AG160=0,DropINTable!AH160,DropINTable!AG160)</f>
        <v>877.39586158417717</v>
      </c>
      <c r="J216" s="46">
        <f>IF(+DropINTable!AH160=0,DropINTable!AI160,DropINTable!AH160)</f>
        <v>964.60041834389438</v>
      </c>
      <c r="K216" s="46">
        <f>IF(+DropINTable!AI160=0,DropINTable!AJ160,DropINTable!AI160)</f>
        <v>1038.6212200776774</v>
      </c>
      <c r="L216" s="46">
        <f>IF(+DropINTable!AJ160=0,DropINTable!AK160,DropINTable!AJ160)</f>
        <v>1127.550749900043</v>
      </c>
      <c r="M216" s="46">
        <f>IF(+DropINTable!AK160=0,DropINTable!AL160,DropINTable!AK160)</f>
        <v>1174.6330323516256</v>
      </c>
      <c r="N216" s="46">
        <f>IF(+DropINTable!AL160=0,DropINTable!AM160,DropINTable!AL160)</f>
        <v>1229.676211481345</v>
      </c>
      <c r="O216" s="46">
        <f>IF(+DropINTable!AM160=0,DropINTable!AN160,DropINTable!AM160)</f>
        <v>1361.1269243939848</v>
      </c>
      <c r="P216" s="46">
        <f>IF(+DropINTable!AN160=0,DropINTable!AO160,DropINTable!AN160)</f>
        <v>1516.5102675176731</v>
      </c>
      <c r="Q216" s="46">
        <f>IF(+DropINTable!AO160=0,DropINTable!AP160,DropINTable!AO160)</f>
        <v>1553.5464448735215</v>
      </c>
      <c r="R216" s="113"/>
      <c r="S216" s="113"/>
      <c r="T216" s="113"/>
      <c r="U216" s="113"/>
      <c r="V216" s="113"/>
      <c r="W216" s="113"/>
      <c r="X216" s="113"/>
      <c r="Y216" s="113"/>
      <c r="Z216" s="113"/>
      <c r="AA216" s="113"/>
      <c r="AB216" s="113"/>
      <c r="AC216" s="113"/>
      <c r="AD216" s="113"/>
      <c r="AE216" s="113"/>
      <c r="AF216" s="113"/>
      <c r="AG216" s="113"/>
      <c r="AH216" s="113"/>
      <c r="AI216" s="113"/>
      <c r="AJ216" s="113"/>
      <c r="AK216" s="113"/>
      <c r="AL216" s="113"/>
      <c r="AM216" s="113"/>
      <c r="AN216" s="113"/>
    </row>
    <row r="217" spans="1:40" x14ac:dyDescent="0.2">
      <c r="A217" t="s">
        <v>1089</v>
      </c>
      <c r="B217" s="86" t="s">
        <v>1090</v>
      </c>
      <c r="C217" t="str">
        <f t="shared" si="73"/>
        <v>Balance of TAS2+2</v>
      </c>
      <c r="D217" s="46">
        <f t="shared" si="74"/>
        <v>828.32665425544269</v>
      </c>
      <c r="E217" s="46">
        <f>IF(+DropINTable!AC161=0,DropINTable!AD161,DropINTable!AC161)</f>
        <v>828.32665425544269</v>
      </c>
      <c r="F217" s="46">
        <f>IF(+DropINTable!AD161=0,DropINTable!AE161,DropINTable!AD161)</f>
        <v>828.32665425544269</v>
      </c>
      <c r="G217" s="46">
        <f>IF(+DropINTable!AE161=0,DropINTable!AF161,DropINTable!AE161)</f>
        <v>852.33102602818587</v>
      </c>
      <c r="H217" s="46">
        <f>IF(+DropINTable!AF161=0,DropINTable!AG161,DropINTable!AF161)</f>
        <v>895.97836782885224</v>
      </c>
      <c r="I217" s="46">
        <f>IF(+DropINTable!AG161=0,DropINTable!AH161,DropINTable!AG161)</f>
        <v>956.25669982541456</v>
      </c>
      <c r="J217" s="46">
        <f>IF(+DropINTable!AH161=0,DropINTable!AI161,DropINTable!AH161)</f>
        <v>1043.8010399640536</v>
      </c>
      <c r="K217" s="46">
        <f>IF(+DropINTable!AI161=0,DropINTable!AJ161,DropINTable!AI161)</f>
        <v>1118.1102528518063</v>
      </c>
      <c r="L217" s="46">
        <f>IF(+DropINTable!AJ161=0,DropINTable!AK161,DropINTable!AJ161)</f>
        <v>1207.3862901424366</v>
      </c>
      <c r="M217" s="46">
        <f>IF(+DropINTable!AK161=0,DropINTable!AL161,DropINTable!AK161)</f>
        <v>1254.6520186910027</v>
      </c>
      <c r="N217" s="46">
        <f>IF(+DropINTable!AL161=0,DropINTable!AM161,DropINTable!AL161)</f>
        <v>1309.9096704265376</v>
      </c>
      <c r="O217" s="46">
        <f>IF(+DropINTable!AM161=0,DropINTable!AN161,DropINTable!AM161)</f>
        <v>1441.8725630821791</v>
      </c>
      <c r="P217" s="46">
        <f>IF(+DropINTable!AN161=0,DropINTable!AO161,DropINTable!AN161)</f>
        <v>1597.8613389723944</v>
      </c>
      <c r="Q217" s="46">
        <f>IF(+DropINTable!AO161=0,DropINTable!AP161,DropINTable!AO161)</f>
        <v>1635.0418285756871</v>
      </c>
      <c r="R217" s="113"/>
      <c r="S217" s="113"/>
      <c r="T217" s="113"/>
      <c r="U217" s="113"/>
      <c r="V217" s="113"/>
      <c r="W217" s="113"/>
      <c r="X217" s="113"/>
      <c r="Y217" s="113"/>
      <c r="Z217" s="113"/>
      <c r="AA217" s="113"/>
      <c r="AB217" s="113"/>
      <c r="AC217" s="113"/>
      <c r="AD217" s="113"/>
      <c r="AE217" s="113"/>
      <c r="AF217" s="113"/>
      <c r="AG217" s="113"/>
      <c r="AH217" s="113"/>
      <c r="AI217" s="113"/>
      <c r="AJ217" s="113"/>
      <c r="AK217" s="113"/>
      <c r="AL217" s="113"/>
      <c r="AM217" s="113"/>
      <c r="AN217" s="113"/>
    </row>
    <row r="218" spans="1:40" x14ac:dyDescent="0.2">
      <c r="A218" t="s">
        <v>1091</v>
      </c>
      <c r="B218" s="86" t="s">
        <v>1092</v>
      </c>
      <c r="C218" t="str">
        <f t="shared" si="73"/>
        <v>Balance of TAS2+3</v>
      </c>
      <c r="D218" s="46">
        <f t="shared" ref="D218" si="75">+F218</f>
        <v>921.45744709241728</v>
      </c>
      <c r="E218" s="46">
        <f>+F218</f>
        <v>921.45744709241728</v>
      </c>
      <c r="F218" s="46">
        <f>IF(+DropINTable!AD162=0,DropINTable!AE162,DropINTable!AD162)</f>
        <v>921.45744709241728</v>
      </c>
      <c r="G218" s="46">
        <f>IF(+DropINTable!AE162=0,DropINTable!AF162,DropINTable!AE162)</f>
        <v>921.45744709241728</v>
      </c>
      <c r="H218" s="46">
        <f>IF(+DropINTable!AF162=0,DropINTable!AG162,DropINTable!AF162)</f>
        <v>965.25326261394673</v>
      </c>
      <c r="I218" s="46">
        <f>IF(+DropINTable!AG162=0,DropINTable!AH162,DropINTable!AG162)</f>
        <v>1025.7366397705052</v>
      </c>
      <c r="J218" s="46">
        <f>IF(+DropINTable!AH162=0,DropINTable!AI162,DropINTable!AH162)</f>
        <v>1113.5787749356457</v>
      </c>
      <c r="K218" s="46">
        <f>IF(+DropINTable!AI162=0,DropINTable!AJ162,DropINTable!AI162)</f>
        <v>1188.1407620113637</v>
      </c>
      <c r="L218" s="46">
        <f>IF(+DropINTable!AJ162=0,DropINTable!AK162,DropINTable!AJ162)</f>
        <v>1277.720484279414</v>
      </c>
      <c r="M218" s="46">
        <f>IF(+DropINTable!AK162=0,DropINTable!AL162,DropINTable!AK162)</f>
        <v>1325.1469926927412</v>
      </c>
      <c r="N218" s="46">
        <f>IF(+DropINTable!AL162=0,DropINTable!AM162,DropINTable!AL162)</f>
        <v>1380.5926102017686</v>
      </c>
      <c r="O218" s="46">
        <f>IF(+DropINTable!AM162=0,DropINTable!AN162,DropINTable!AM162)</f>
        <v>1513.0043940593414</v>
      </c>
      <c r="P218" s="46">
        <f>IF(+DropINTable!AN162=0,DropINTable!AO162,DropINTable!AN162)</f>
        <v>1669.5237894928562</v>
      </c>
      <c r="Q218" s="46">
        <f>IF(+DropINTable!AO162=0,DropINTable!AP162,DropINTable!AO162)</f>
        <v>1706.830752927679</v>
      </c>
      <c r="R218" s="113"/>
      <c r="S218" s="113"/>
      <c r="T218" s="113"/>
      <c r="U218" s="113"/>
      <c r="V218" s="113"/>
      <c r="W218" s="113"/>
      <c r="X218" s="113"/>
      <c r="Y218" s="113"/>
      <c r="Z218" s="113"/>
      <c r="AA218" s="113"/>
      <c r="AB218" s="113"/>
      <c r="AC218" s="113"/>
      <c r="AD218" s="113"/>
      <c r="AE218" s="113"/>
      <c r="AF218" s="113"/>
      <c r="AG218" s="113"/>
      <c r="AH218" s="113"/>
      <c r="AI218" s="113"/>
      <c r="AJ218" s="113"/>
      <c r="AK218" s="113"/>
      <c r="AL218" s="113"/>
      <c r="AM218" s="113"/>
      <c r="AN218" s="113"/>
    </row>
    <row r="219" spans="1:40" x14ac:dyDescent="0.2">
      <c r="B219" s="86" t="s">
        <v>1093</v>
      </c>
      <c r="C219" t="str">
        <f t="shared" ref="C219:C221" si="76">+CONCATENATE(A$214,B219)</f>
        <v>Balance of TAS2+4</v>
      </c>
      <c r="D219" s="46">
        <f>+D218+Per_child_accounting!$AD$113</f>
        <v>1016.1115744538092</v>
      </c>
      <c r="E219" s="46">
        <f>+E218+Per_child_accounting!$AD$113</f>
        <v>1016.1115744538092</v>
      </c>
      <c r="F219" s="46">
        <f>+F218+Per_child_accounting!AD$113</f>
        <v>1016.1115744538092</v>
      </c>
      <c r="G219" s="46">
        <f>+G218+Per_child_accounting!AE$113</f>
        <v>1016.0888601980289</v>
      </c>
      <c r="H219" s="46">
        <f>+H218+Per_child_accounting!AF$113</f>
        <v>1059.8433776180168</v>
      </c>
      <c r="I219" s="46">
        <f>+I218+Per_child_accounting!AG$113</f>
        <v>1120.26972508072</v>
      </c>
      <c r="J219" s="46">
        <f>+J218+Per_child_accounting!AH$113</f>
        <v>1208.0290283363997</v>
      </c>
      <c r="K219" s="46">
        <f>+K218+Per_child_accounting!AI$113</f>
        <v>1282.5207084453752</v>
      </c>
      <c r="L219" s="46">
        <f>+L218+Per_child_accounting!AJ$113</f>
        <v>1372.0159592525868</v>
      </c>
      <c r="M219" s="46">
        <f>+M218+Per_child_accounting!AK$113</f>
        <v>1419.3977508321439</v>
      </c>
      <c r="N219" s="46">
        <f>+N218+Per_child_accounting!AL$113</f>
        <v>1474.7910829008576</v>
      </c>
      <c r="O219" s="46">
        <f>+O218+Per_child_accounting!AM$113</f>
        <v>1607.0780108568392</v>
      </c>
      <c r="P219" s="46">
        <f>+P218+Per_child_accounting!AN$113</f>
        <v>1763.4498153930481</v>
      </c>
      <c r="Q219" s="46">
        <f>+Q218+Per_child_accounting!AO$113</f>
        <v>1800.7215972729571</v>
      </c>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row>
    <row r="220" spans="1:40" x14ac:dyDescent="0.2">
      <c r="B220" s="86" t="s">
        <v>1094</v>
      </c>
      <c r="C220" t="str">
        <f t="shared" si="76"/>
        <v>Balance of TAS2+5</v>
      </c>
      <c r="D220" s="46">
        <f>+D219+Per_child_accounting!$AD$113</f>
        <v>1110.7657018152013</v>
      </c>
      <c r="E220" s="46">
        <f>+E219+Per_child_accounting!$AD$113</f>
        <v>1110.7657018152013</v>
      </c>
      <c r="F220" s="46">
        <f>+F219+Per_child_accounting!$AD$113</f>
        <v>1110.7657018152013</v>
      </c>
      <c r="G220" s="46">
        <f>+G219+Per_child_accounting!AE$113</f>
        <v>1110.7202733036406</v>
      </c>
      <c r="H220" s="46">
        <f>+H219+Per_child_accounting!AF$113</f>
        <v>1154.433492622087</v>
      </c>
      <c r="I220" s="46">
        <f>+I219+Per_child_accounting!AG$113</f>
        <v>1214.8028103909348</v>
      </c>
      <c r="J220" s="46">
        <f>+J219+Per_child_accounting!AH$113</f>
        <v>1302.4792817371538</v>
      </c>
      <c r="K220" s="46">
        <f>+K219+Per_child_accounting!AI$113</f>
        <v>1376.9006548793868</v>
      </c>
      <c r="L220" s="46">
        <f>+L219+Per_child_accounting!AJ$113</f>
        <v>1466.3114342257595</v>
      </c>
      <c r="M220" s="46">
        <f>+M219+Per_child_accounting!AK$113</f>
        <v>1513.6485089715466</v>
      </c>
      <c r="N220" s="46">
        <f>+N219+Per_child_accounting!AL$113</f>
        <v>1568.9895555999467</v>
      </c>
      <c r="O220" s="46">
        <f>+O219+Per_child_accounting!AM$113</f>
        <v>1701.1516276543371</v>
      </c>
      <c r="P220" s="46">
        <f>+P219+Per_child_accounting!AN$113</f>
        <v>1857.37584129324</v>
      </c>
      <c r="Q220" s="46">
        <f>+Q219+Per_child_accounting!AO$113</f>
        <v>1894.6124416182352</v>
      </c>
      <c r="R220" s="113"/>
      <c r="S220" s="113"/>
      <c r="T220" s="113"/>
      <c r="U220" s="113"/>
      <c r="V220" s="113"/>
      <c r="W220" s="113"/>
      <c r="X220" s="113"/>
      <c r="Y220" s="113"/>
      <c r="Z220" s="113"/>
      <c r="AA220" s="113"/>
      <c r="AB220" s="113"/>
      <c r="AC220" s="113"/>
      <c r="AD220" s="113"/>
      <c r="AE220" s="113"/>
      <c r="AF220" s="113"/>
      <c r="AG220" s="113"/>
      <c r="AH220" s="113"/>
      <c r="AI220" s="113"/>
      <c r="AJ220" s="113"/>
      <c r="AK220" s="113"/>
      <c r="AL220" s="113"/>
      <c r="AM220" s="113"/>
      <c r="AN220" s="113"/>
    </row>
    <row r="221" spans="1:40" x14ac:dyDescent="0.2">
      <c r="B221" s="86" t="s">
        <v>1095</v>
      </c>
      <c r="C221" t="str">
        <f t="shared" si="76"/>
        <v>Balance of TAS2+6</v>
      </c>
      <c r="D221" s="46">
        <f>+D220+Per_child_accounting!$AD$113</f>
        <v>1205.4198291765933</v>
      </c>
      <c r="E221" s="46">
        <f>+E220+Per_child_accounting!$AD$113</f>
        <v>1205.4198291765933</v>
      </c>
      <c r="F221" s="46">
        <f>+F220+Per_child_accounting!$AD$113</f>
        <v>1205.4198291765933</v>
      </c>
      <c r="G221" s="46">
        <f>+G220+Per_child_accounting!AE$113</f>
        <v>1205.3516864092521</v>
      </c>
      <c r="H221" s="46">
        <f>+H220+Per_child_accounting!AF$113</f>
        <v>1249.0236076261572</v>
      </c>
      <c r="I221" s="46">
        <f>+I220+Per_child_accounting!AG$113</f>
        <v>1309.3358957011496</v>
      </c>
      <c r="J221" s="46">
        <f>+J220+Per_child_accounting!AH$113</f>
        <v>1396.9295351379078</v>
      </c>
      <c r="K221" s="46">
        <f>+K220+Per_child_accounting!AI$113</f>
        <v>1471.2806013133984</v>
      </c>
      <c r="L221" s="46">
        <f>+L220+Per_child_accounting!AJ$113</f>
        <v>1560.6069091989323</v>
      </c>
      <c r="M221" s="46">
        <f>+M220+Per_child_accounting!AK$113</f>
        <v>1607.8992671109493</v>
      </c>
      <c r="N221" s="46">
        <f>+N220+Per_child_accounting!AL$113</f>
        <v>1663.1880282990358</v>
      </c>
      <c r="O221" s="46">
        <f>+O220+Per_child_accounting!AM$113</f>
        <v>1795.2252444518349</v>
      </c>
      <c r="P221" s="46">
        <f>+P220+Per_child_accounting!AN$113</f>
        <v>1951.3018671934319</v>
      </c>
      <c r="Q221" s="46">
        <f>+Q220+Per_child_accounting!AO$113</f>
        <v>1988.5032859635132</v>
      </c>
      <c r="R221" s="113"/>
      <c r="S221" s="113"/>
      <c r="T221" s="113"/>
      <c r="U221" s="113"/>
      <c r="V221" s="113"/>
      <c r="W221" s="113"/>
      <c r="X221" s="113"/>
      <c r="Y221" s="113"/>
      <c r="Z221" s="113"/>
      <c r="AA221" s="113"/>
      <c r="AB221" s="113"/>
      <c r="AC221" s="113"/>
      <c r="AD221" s="113"/>
      <c r="AE221" s="113"/>
      <c r="AF221" s="113"/>
      <c r="AG221" s="113"/>
      <c r="AH221" s="113"/>
      <c r="AI221" s="113"/>
      <c r="AJ221" s="113"/>
      <c r="AK221" s="113"/>
      <c r="AL221" s="113"/>
      <c r="AM221" s="113"/>
      <c r="AN221" s="113"/>
    </row>
    <row r="222" spans="1:40" x14ac:dyDescent="0.2">
      <c r="B222" s="86"/>
      <c r="D222" s="46"/>
      <c r="E222" s="46"/>
      <c r="F222" s="46"/>
      <c r="G222" s="46"/>
      <c r="H222" s="46"/>
      <c r="I222" s="46"/>
      <c r="J222" s="46"/>
      <c r="K222" s="46"/>
      <c r="L222" s="46"/>
      <c r="M222" s="46"/>
      <c r="N222" s="46"/>
      <c r="O222" s="46"/>
      <c r="P222" s="46"/>
      <c r="Q222" s="46"/>
      <c r="R222" s="46"/>
      <c r="S222" s="113"/>
      <c r="T222" s="113"/>
      <c r="U222" s="113"/>
      <c r="V222" s="113"/>
      <c r="W222" s="113"/>
      <c r="X222" s="113"/>
      <c r="Y222" s="113"/>
      <c r="Z222" s="113"/>
      <c r="AA222" s="113"/>
      <c r="AB222" s="113"/>
      <c r="AC222" s="113"/>
      <c r="AD222" s="113"/>
      <c r="AE222" s="113"/>
      <c r="AF222" s="113"/>
      <c r="AG222" s="113"/>
      <c r="AH222" s="113"/>
      <c r="AI222" s="113"/>
      <c r="AJ222" s="113"/>
      <c r="AK222" s="113"/>
      <c r="AL222" s="113"/>
      <c r="AM222" s="113"/>
      <c r="AN222" s="113"/>
    </row>
    <row r="223" spans="1:40" x14ac:dyDescent="0.2">
      <c r="A223" t="s">
        <v>1096</v>
      </c>
      <c r="B223" s="86" t="s">
        <v>1097</v>
      </c>
      <c r="C223" t="str">
        <f t="shared" si="73"/>
        <v>Balance of TAS1+0</v>
      </c>
      <c r="D223" s="46">
        <f>IF(+DropINTable!AB164=0,DropINTable!AC164,DropINTable!AB164)</f>
        <v>335.21380296192342</v>
      </c>
      <c r="E223" s="46">
        <f>IF(+DropINTable!AC164=0,DropINTable!AD164,DropINTable!AC164)</f>
        <v>352.35505789497245</v>
      </c>
      <c r="F223" s="46">
        <f>IF(+DropINTable!AD164=0,DropINTable!AE164,DropINTable!AD164)</f>
        <v>368.50338261024626</v>
      </c>
      <c r="G223" s="46">
        <f>IF(+DropINTable!AE164=0,DropINTable!AF164,DropINTable!AE164)</f>
        <v>392.20716523448539</v>
      </c>
      <c r="H223" s="46">
        <f>IF(+DropINTable!AF164=0,DropINTable!AG164,DropINTable!AF164)</f>
        <v>435.30794597596253</v>
      </c>
      <c r="I223" s="46">
        <f>IF(+DropINTable!AG164=0,DropINTable!AH164,DropINTable!AG164)</f>
        <v>494.83146009271485</v>
      </c>
      <c r="J223" s="46">
        <f>IF(+DropINTable!AH164=0,DropINTable!AI164,DropINTable!AH164)</f>
        <v>581.27954957498559</v>
      </c>
      <c r="K223" s="46">
        <f>IF(+DropINTable!AI164=0,DropINTable!AJ164,DropINTable!AI164)</f>
        <v>654.65824767366939</v>
      </c>
      <c r="L223" s="46">
        <f>IF(+DropINTable!AJ164=0,DropINTable!AK164,DropINTable!AJ164)</f>
        <v>742.8163480061462</v>
      </c>
      <c r="M223" s="46">
        <f>IF(+DropINTable!AK164=0,DropINTable!AL164,DropINTable!AK164)</f>
        <v>789.49020583399022</v>
      </c>
      <c r="N223" s="46">
        <f>IF(+DropINTable!AL164=0,DropINTable!AM164,DropINTable!AL164)</f>
        <v>844.05590833767769</v>
      </c>
      <c r="O223" s="46">
        <f>IF(+DropINTable!AM164=0,DropINTable!AN164,DropINTable!AM164)</f>
        <v>974.36633301730819</v>
      </c>
      <c r="P223" s="46">
        <f>IF(+DropINTable!AN164=0,DropINTable!AO164,DropINTable!AN164)</f>
        <v>1128.4017827659541</v>
      </c>
      <c r="Q223" s="46">
        <f>IF(+DropINTable!AO164=0,DropINTable!AP164,DropINTable!AO164)</f>
        <v>1165.1166887558652</v>
      </c>
      <c r="R223" s="113"/>
      <c r="S223" s="113"/>
      <c r="T223" s="113"/>
      <c r="U223" s="113"/>
      <c r="V223" s="113"/>
      <c r="W223" s="113"/>
      <c r="X223" s="113"/>
      <c r="Y223" s="113"/>
      <c r="Z223" s="113"/>
      <c r="AA223" s="113"/>
      <c r="AB223" s="113"/>
      <c r="AC223" s="113"/>
      <c r="AD223" s="113"/>
      <c r="AE223" s="113"/>
      <c r="AF223" s="113"/>
      <c r="AG223" s="113"/>
      <c r="AH223" s="113"/>
      <c r="AI223" s="113"/>
      <c r="AJ223" s="113"/>
      <c r="AK223" s="113"/>
      <c r="AL223" s="113"/>
      <c r="AM223" s="113"/>
      <c r="AN223" s="113"/>
    </row>
    <row r="224" spans="1:40" x14ac:dyDescent="0.2">
      <c r="A224" t="s">
        <v>1098</v>
      </c>
      <c r="B224" s="86" t="s">
        <v>1099</v>
      </c>
      <c r="C224" t="str">
        <f t="shared" si="73"/>
        <v>Balance of TAS1+1</v>
      </c>
      <c r="D224" s="46">
        <f>IF(+DropINTable!AB165=0,DropINTable!AC165,DropINTable!AB165)</f>
        <v>451.81773121662815</v>
      </c>
      <c r="E224" s="46">
        <f>IF(+DropINTable!AC165=0,DropINTable!AD165,DropINTable!AC165)</f>
        <v>451.81773121662815</v>
      </c>
      <c r="F224" s="46">
        <f>IF(+DropINTable!AD165=0,DropINTable!AE165,DropINTable!AD165)</f>
        <v>467.86552133955945</v>
      </c>
      <c r="G224" s="46">
        <f>IF(+DropINTable!AE165=0,DropINTable!AF165,DropINTable!AE165)</f>
        <v>491.42172930507513</v>
      </c>
      <c r="H224" s="46">
        <f>IF(+DropINTable!AF165=0,DropINTable!AG165,DropINTable!AF165)</f>
        <v>534.25417458175298</v>
      </c>
      <c r="I224" s="46">
        <f>IF(+DropINTable!AG165=0,DropINTable!AH165,DropINTable!AG165)</f>
        <v>593.40710913536259</v>
      </c>
      <c r="J224" s="46">
        <f>IF(+DropINTable!AH165=0,DropINTable!AI165,DropINTable!AH165)</f>
        <v>679.3169941571407</v>
      </c>
      <c r="K224" s="46">
        <f>IF(+DropINTable!AI165=0,DropINTable!AJ165,DropINTable!AI165)</f>
        <v>752.23885179117838</v>
      </c>
      <c r="L224" s="46">
        <f>IF(+DropINTable!AJ165=0,DropINTable!AK165,DropINTable!AJ165)</f>
        <v>839.84810176847157</v>
      </c>
      <c r="M224" s="46">
        <f>IF(+DropINTable!AK165=0,DropINTable!AL165,DropINTable!AK165)</f>
        <v>886.23138277794271</v>
      </c>
      <c r="N224" s="46">
        <f>IF(+DropINTable!AL165=0,DropINTable!AM165,DropINTable!AL165)</f>
        <v>940.45736809270045</v>
      </c>
      <c r="O224" s="46">
        <f>IF(+DropINTable!AM165=0,DropINTable!AN165,DropINTable!AM165)</f>
        <v>1069.9565134494435</v>
      </c>
      <c r="P224" s="46">
        <f>IF(+DropINTable!AN165=0,DropINTable!AO165,DropINTable!AN165)</f>
        <v>1223.0329770540766</v>
      </c>
      <c r="Q224" s="46">
        <f>IF(+DropINTable!AO165=0,DropINTable!AP165,DropINTable!AO165)</f>
        <v>1259.5193031415577</v>
      </c>
      <c r="R224" s="113"/>
      <c r="S224" s="113"/>
      <c r="T224" s="113"/>
      <c r="U224" s="113"/>
      <c r="V224" s="113"/>
      <c r="W224" s="113"/>
      <c r="X224" s="113"/>
      <c r="Y224" s="113"/>
      <c r="Z224" s="113"/>
      <c r="AA224" s="113"/>
      <c r="AB224" s="113"/>
      <c r="AC224" s="113"/>
      <c r="AD224" s="113"/>
      <c r="AE224" s="113"/>
      <c r="AF224" s="113"/>
      <c r="AG224" s="113"/>
      <c r="AH224" s="113"/>
      <c r="AI224" s="113"/>
      <c r="AJ224" s="113"/>
      <c r="AK224" s="113"/>
      <c r="AL224" s="113"/>
      <c r="AM224" s="113"/>
      <c r="AN224" s="113"/>
    </row>
    <row r="225" spans="1:40" x14ac:dyDescent="0.2">
      <c r="A225" t="s">
        <v>1100</v>
      </c>
      <c r="B225" s="86" t="s">
        <v>1101</v>
      </c>
      <c r="C225" t="str">
        <f t="shared" si="73"/>
        <v>Balance of TAS1+2</v>
      </c>
      <c r="D225" s="46">
        <f>IF(+DropINTable!AB166=0,DropINTable!AC166,DropINTable!AB166)</f>
        <v>569.58206596217531</v>
      </c>
      <c r="E225" s="46">
        <f>IF(+DropINTable!AC166=0,DropINTable!AD166,DropINTable!AC166)</f>
        <v>569.58206596217531</v>
      </c>
      <c r="F225" s="46">
        <f>IF(+DropINTable!AD166=0,DropINTable!AE166,DropINTable!AD166)</f>
        <v>585.64111775638128</v>
      </c>
      <c r="G225" s="46">
        <f>IF(+DropINTable!AE166=0,DropINTable!AF166,DropINTable!AE166)</f>
        <v>609.21386575567101</v>
      </c>
      <c r="H225" s="46">
        <f>IF(+DropINTable!AF166=0,DropINTable!AG166,DropINTable!AF166)</f>
        <v>652.07638108680828</v>
      </c>
      <c r="I225" s="46">
        <f>IF(+DropINTable!AG166=0,DropINTable!AH166,DropINTable!AG166)</f>
        <v>711.27083882630234</v>
      </c>
      <c r="J225" s="46">
        <f>IF(+DropINTable!AH166=0,DropINTable!AI166,DropINTable!AH166)</f>
        <v>797.24103246771608</v>
      </c>
      <c r="K225" s="46">
        <f>IF(+DropINTable!AI166=0,DropINTable!AJ166,DropINTable!AI166)</f>
        <v>870.21408290820591</v>
      </c>
      <c r="L225" s="46">
        <f>IF(+DropINTable!AJ166=0,DropINTable!AK166,DropINTable!AJ166)</f>
        <v>957.88483492392913</v>
      </c>
      <c r="M225" s="46">
        <f>IF(+DropINTable!AK166=0,DropINTable!AL166,DropINTable!AK166)</f>
        <v>1004.3006740011078</v>
      </c>
      <c r="N225" s="46">
        <f>IF(+DropINTable!AL166=0,DropINTable!AM166,DropINTable!AL166)</f>
        <v>1058.564732509401</v>
      </c>
      <c r="O225" s="46">
        <f>IF(+DropINTable!AM166=0,DropINTable!AN166,DropINTable!AM166)</f>
        <v>1188.1547792856773</v>
      </c>
      <c r="P225" s="46">
        <f>IF(+DropINTable!AN166=0,DropINTable!AO166,DropINTable!AN166)</f>
        <v>1341.3387032939768</v>
      </c>
      <c r="Q225" s="46">
        <f>IF(+DropINTable!AO166=0,DropINTable!AP166,DropINTable!AO166)</f>
        <v>1377.8506460417327</v>
      </c>
      <c r="R225" s="113"/>
      <c r="S225" s="113"/>
      <c r="T225" s="113"/>
      <c r="U225" s="113"/>
      <c r="V225" s="113"/>
      <c r="W225" s="113"/>
      <c r="X225" s="113"/>
      <c r="Y225" s="113"/>
      <c r="Z225" s="113"/>
      <c r="AA225" s="113"/>
      <c r="AB225" s="113"/>
      <c r="AC225" s="113"/>
      <c r="AD225" s="113"/>
      <c r="AE225" s="113"/>
      <c r="AF225" s="113"/>
      <c r="AG225" s="113"/>
      <c r="AH225" s="113"/>
      <c r="AI225" s="113"/>
      <c r="AJ225" s="113"/>
      <c r="AK225" s="113"/>
      <c r="AL225" s="113"/>
      <c r="AM225" s="113"/>
      <c r="AN225" s="113"/>
    </row>
    <row r="226" spans="1:40" x14ac:dyDescent="0.2">
      <c r="A226" t="s">
        <v>1102</v>
      </c>
      <c r="B226" s="86" t="s">
        <v>1103</v>
      </c>
      <c r="C226" t="str">
        <f t="shared" si="73"/>
        <v>Balance of TAS1+3</v>
      </c>
      <c r="D226" s="46">
        <f t="shared" ref="D226" si="77">+E226</f>
        <v>703.4167141732031</v>
      </c>
      <c r="E226" s="46">
        <f>IF(+DropINTable!AC167=0,DropINTable!AD167,DropINTable!AC167)</f>
        <v>703.4167141732031</v>
      </c>
      <c r="F226" s="46">
        <f>IF(+DropINTable!AD167=0,DropINTable!AE167,DropINTable!AD167)</f>
        <v>703.4167141732031</v>
      </c>
      <c r="G226" s="46">
        <f>IF(+DropINTable!AE167=0,DropINTable!AF167,DropINTable!AE167)</f>
        <v>727.00600220626688</v>
      </c>
      <c r="H226" s="46">
        <f>IF(+DropINTable!AF167=0,DropINTable!AG167,DropINTable!AF167)</f>
        <v>769.89858759186359</v>
      </c>
      <c r="I226" s="46">
        <f>IF(+DropINTable!AG167=0,DropINTable!AH167,DropINTable!AG167)</f>
        <v>829.13456851724209</v>
      </c>
      <c r="J226" s="46">
        <f>IF(+DropINTable!AH167=0,DropINTable!AI167,DropINTable!AH167)</f>
        <v>915.16507077829147</v>
      </c>
      <c r="K226" s="46">
        <f>IF(+DropINTable!AI167=0,DropINTable!AJ167,DropINTable!AI167)</f>
        <v>988.18931402523344</v>
      </c>
      <c r="L226" s="46">
        <f>IF(+DropINTable!AJ167=0,DropINTable!AK167,DropINTable!AJ167)</f>
        <v>1075.9215680793868</v>
      </c>
      <c r="M226" s="46">
        <f>IF(+DropINTable!AK167=0,DropINTable!AL167,DropINTable!AK167)</f>
        <v>1122.3699652242731</v>
      </c>
      <c r="N226" s="46">
        <f>IF(+DropINTable!AL167=0,DropINTable!AM167,DropINTable!AL167)</f>
        <v>1176.6720969261014</v>
      </c>
      <c r="O226" s="46">
        <f>IF(+DropINTable!AM167=0,DropINTable!AN167,DropINTable!AM167)</f>
        <v>1306.353045121911</v>
      </c>
      <c r="P226" s="46">
        <f>IF(+DropINTable!AN167=0,DropINTable!AO167,DropINTable!AN167)</f>
        <v>1459.644429533877</v>
      </c>
      <c r="Q226" s="46">
        <f>IF(+DropINTable!AO167=0,DropINTable!AP167,DropINTable!AO167)</f>
        <v>1496.1819889419078</v>
      </c>
      <c r="R226" s="113"/>
      <c r="S226" s="113"/>
      <c r="T226" s="113"/>
      <c r="U226" s="113"/>
      <c r="V226" s="113"/>
      <c r="W226" s="113"/>
      <c r="X226" s="113"/>
      <c r="Y226" s="113"/>
      <c r="Z226" s="113"/>
      <c r="AA226" s="113"/>
      <c r="AB226" s="113"/>
      <c r="AC226" s="113"/>
      <c r="AD226" s="113"/>
      <c r="AE226" s="113"/>
      <c r="AF226" s="113"/>
      <c r="AG226" s="113"/>
      <c r="AH226" s="113"/>
      <c r="AI226" s="113"/>
      <c r="AJ226" s="113"/>
      <c r="AK226" s="113"/>
      <c r="AL226" s="113"/>
      <c r="AM226" s="113"/>
      <c r="AN226" s="113"/>
    </row>
    <row r="227" spans="1:40" x14ac:dyDescent="0.2">
      <c r="B227" s="86" t="s">
        <v>1104</v>
      </c>
      <c r="C227" t="str">
        <f t="shared" ref="C227:C229" si="78">+CONCATENATE(A$214,B227)</f>
        <v>Balance of TAS1+4</v>
      </c>
      <c r="D227" s="46">
        <f>+D226+Per_child_accounting!AC$116</f>
        <v>802.87938749485875</v>
      </c>
      <c r="E227" s="46">
        <f>+E226+Per_child_accounting!AC$116</f>
        <v>802.87938749485875</v>
      </c>
      <c r="F227" s="46">
        <f>+F226+Per_child_accounting!AD$116</f>
        <v>802.77885290251629</v>
      </c>
      <c r="G227" s="46">
        <f>+G226+Per_child_accounting!AE$116</f>
        <v>826.22056627685663</v>
      </c>
      <c r="H227" s="46">
        <f>+H226+Per_child_accounting!AF$116</f>
        <v>868.84481619765404</v>
      </c>
      <c r="I227" s="46">
        <f>+I226+Per_child_accounting!AG$116</f>
        <v>927.71021755988977</v>
      </c>
      <c r="J227" s="46">
        <f>+J226+Per_child_accounting!AH$116</f>
        <v>1013.2025153604466</v>
      </c>
      <c r="K227" s="46">
        <f>+K226+Per_child_accounting!AI$116</f>
        <v>1085.7699181427424</v>
      </c>
      <c r="L227" s="46">
        <f>+L226+Per_child_accounting!AJ$116</f>
        <v>1172.9533218417123</v>
      </c>
      <c r="M227" s="46">
        <f>+M226+Per_child_accounting!AK$116</f>
        <v>1219.1111421682256</v>
      </c>
      <c r="N227" s="46">
        <f>+N226+Per_child_accounting!AL$116</f>
        <v>1273.073556681124</v>
      </c>
      <c r="O227" s="46">
        <f>+O226+Per_child_accounting!AM$116</f>
        <v>1401.9432255540464</v>
      </c>
      <c r="P227" s="46">
        <f>+P226+Per_child_accounting!AN$116</f>
        <v>1554.2756238219995</v>
      </c>
      <c r="Q227" s="46">
        <f>+Q226+Per_child_accounting!AO$116</f>
        <v>1590.5846033276002</v>
      </c>
      <c r="R227" s="113"/>
      <c r="S227" s="113"/>
      <c r="T227" s="113"/>
      <c r="U227" s="113"/>
      <c r="V227" s="113"/>
      <c r="W227" s="113"/>
      <c r="X227" s="113"/>
      <c r="Y227" s="113"/>
      <c r="Z227" s="113"/>
      <c r="AA227" s="113"/>
      <c r="AB227" s="113"/>
      <c r="AC227" s="113"/>
      <c r="AD227" s="113"/>
      <c r="AE227" s="113"/>
      <c r="AF227" s="113"/>
      <c r="AG227" s="113"/>
      <c r="AH227" s="113"/>
      <c r="AI227" s="113"/>
      <c r="AJ227" s="113"/>
      <c r="AK227" s="113"/>
      <c r="AL227" s="113"/>
      <c r="AM227" s="113"/>
      <c r="AN227" s="113"/>
    </row>
    <row r="228" spans="1:40" x14ac:dyDescent="0.2">
      <c r="B228" s="86" t="s">
        <v>1105</v>
      </c>
      <c r="C228" t="str">
        <f t="shared" si="78"/>
        <v>Balance of TAS1+5</v>
      </c>
      <c r="D228" s="46">
        <f>+D227+Per_child_accounting!AC$116</f>
        <v>902.3420608165145</v>
      </c>
      <c r="E228" s="46">
        <f>+E227+Per_child_accounting!AC$116</f>
        <v>902.3420608165145</v>
      </c>
      <c r="F228" s="46">
        <f>+F227+Per_child_accounting!AD$116</f>
        <v>902.14099163182948</v>
      </c>
      <c r="G228" s="46">
        <f>+G227+Per_child_accounting!AE$116</f>
        <v>925.43513034744637</v>
      </c>
      <c r="H228" s="46">
        <f>+H227+Per_child_accounting!AF$116</f>
        <v>967.79104480344449</v>
      </c>
      <c r="I228" s="46">
        <f>+I227+Per_child_accounting!AG$116</f>
        <v>1026.2858666025375</v>
      </c>
      <c r="J228" s="46">
        <f>+J227+Per_child_accounting!AH$116</f>
        <v>1111.2399599426017</v>
      </c>
      <c r="K228" s="46">
        <f>+K227+Per_child_accounting!AI$116</f>
        <v>1183.3505222602514</v>
      </c>
      <c r="L228" s="46">
        <f>+L227+Per_child_accounting!AJ$116</f>
        <v>1269.9850756040378</v>
      </c>
      <c r="M228" s="46">
        <f>+M227+Per_child_accounting!AK$116</f>
        <v>1315.8523191121781</v>
      </c>
      <c r="N228" s="46">
        <f>+N227+Per_child_accounting!AL$116</f>
        <v>1369.4750164361467</v>
      </c>
      <c r="O228" s="46">
        <f>+O227+Per_child_accounting!AM$116</f>
        <v>1497.5334059861816</v>
      </c>
      <c r="P228" s="46">
        <f>+P227+Per_child_accounting!AN$116</f>
        <v>1648.906818110122</v>
      </c>
      <c r="Q228" s="46">
        <f>+Q227+Per_child_accounting!AO$116</f>
        <v>1684.9872177132927</v>
      </c>
      <c r="R228" s="113"/>
      <c r="S228" s="113"/>
      <c r="T228" s="113"/>
      <c r="U228" s="113"/>
      <c r="V228" s="113"/>
      <c r="W228" s="113"/>
      <c r="X228" s="113"/>
      <c r="Y228" s="113"/>
      <c r="Z228" s="113"/>
      <c r="AA228" s="113"/>
      <c r="AB228" s="113"/>
      <c r="AC228" s="113"/>
      <c r="AD228" s="113"/>
      <c r="AE228" s="113"/>
      <c r="AF228" s="113"/>
      <c r="AG228" s="113"/>
      <c r="AH228" s="113"/>
      <c r="AI228" s="113"/>
      <c r="AJ228" s="113"/>
      <c r="AK228" s="113"/>
      <c r="AL228" s="113"/>
      <c r="AM228" s="113"/>
      <c r="AN228" s="113"/>
    </row>
    <row r="229" spans="1:40" x14ac:dyDescent="0.2">
      <c r="B229" s="86" t="s">
        <v>1106</v>
      </c>
      <c r="C229" t="str">
        <f t="shared" si="78"/>
        <v>Balance of TAS1+6</v>
      </c>
      <c r="D229" s="46">
        <f>+D228+Per_child_accounting!AC$116</f>
        <v>1001.8047341381703</v>
      </c>
      <c r="E229" s="46">
        <f>+E228+Per_child_accounting!AC$116</f>
        <v>1001.8047341381703</v>
      </c>
      <c r="F229" s="46">
        <f>+F228+Per_child_accounting!AD$116</f>
        <v>1001.5031303611427</v>
      </c>
      <c r="G229" s="46">
        <f>+G228+Per_child_accounting!AE$116</f>
        <v>1024.6496944180362</v>
      </c>
      <c r="H229" s="46">
        <f>+H228+Per_child_accounting!AF$116</f>
        <v>1066.7372734092351</v>
      </c>
      <c r="I229" s="46">
        <f>+I228+Per_child_accounting!AG$116</f>
        <v>1124.8615156451851</v>
      </c>
      <c r="J229" s="46">
        <f>+J228+Per_child_accounting!AH$116</f>
        <v>1209.2774045247568</v>
      </c>
      <c r="K229" s="46">
        <f>+K228+Per_child_accounting!AI$116</f>
        <v>1280.9311263777604</v>
      </c>
      <c r="L229" s="46">
        <f>+L228+Per_child_accounting!AJ$116</f>
        <v>1367.0168293663633</v>
      </c>
      <c r="M229" s="46">
        <f>+M228+Per_child_accounting!AK$116</f>
        <v>1412.5934960561306</v>
      </c>
      <c r="N229" s="46">
        <f>+N228+Per_child_accounting!AL$116</f>
        <v>1465.8764761911693</v>
      </c>
      <c r="O229" s="46">
        <f>+O228+Per_child_accounting!AM$116</f>
        <v>1593.1235864183168</v>
      </c>
      <c r="P229" s="46">
        <f>+P228+Per_child_accounting!AN$116</f>
        <v>1743.5380123982445</v>
      </c>
      <c r="Q229" s="46">
        <f>+Q228+Per_child_accounting!AO$116</f>
        <v>1779.3898320989852</v>
      </c>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row>
    <row r="230" spans="1:40" x14ac:dyDescent="0.2">
      <c r="D230" s="46"/>
      <c r="E230" s="46"/>
      <c r="F230" s="46"/>
      <c r="G230" s="46"/>
      <c r="H230" s="46"/>
      <c r="I230" s="46"/>
      <c r="J230" s="46"/>
      <c r="K230" s="46"/>
      <c r="L230" s="46"/>
      <c r="M230" s="46"/>
      <c r="N230" s="46"/>
      <c r="O230" s="46"/>
      <c r="P230" s="46"/>
      <c r="Q230" s="46"/>
      <c r="R230" s="46"/>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row>
    <row r="231" spans="1:40" ht="28.5" x14ac:dyDescent="0.45">
      <c r="A231" s="368" t="s">
        <v>236</v>
      </c>
      <c r="B231" s="368"/>
      <c r="C231" s="368"/>
      <c r="D231" s="46"/>
      <c r="E231" s="46"/>
      <c r="F231" s="46"/>
      <c r="G231" s="46"/>
      <c r="H231" s="46"/>
      <c r="I231" s="46"/>
      <c r="J231" s="46"/>
      <c r="K231" s="46"/>
      <c r="L231" s="46"/>
      <c r="M231" s="46"/>
      <c r="N231" s="46"/>
      <c r="O231" s="46"/>
      <c r="P231" s="46"/>
      <c r="Q231" s="46"/>
      <c r="R231" s="46"/>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row>
    <row r="232" spans="1:40" x14ac:dyDescent="0.2">
      <c r="A232" t="s">
        <v>1085</v>
      </c>
      <c r="B232" s="86" t="s">
        <v>1086</v>
      </c>
      <c r="C232" t="str">
        <f>+CONCATENATE(A$231,B232)</f>
        <v>ACT &amp; NT2+0</v>
      </c>
      <c r="D232" s="46">
        <f>IF(+DropINTable!AB171=0,DropINTable!AC171,DropINTable!AB171)</f>
        <v>653.56924075782354</v>
      </c>
      <c r="E232" s="46">
        <f>IF(+DropINTable!AC171=0,DropINTable!AD171,DropINTable!AC171)</f>
        <v>653.56924075782354</v>
      </c>
      <c r="F232" s="46">
        <f>IF(+DropINTable!AD171=0,DropINTable!AE171,DropINTable!AD171)</f>
        <v>669.87434496180617</v>
      </c>
      <c r="G232" s="46">
        <f>IF(+DropINTable!AE171=0,DropINTable!AF171,DropINTable!AE171)</f>
        <v>693.80826000515322</v>
      </c>
      <c r="H232" s="46">
        <f>IF(+DropINTable!AF171=0,DropINTable!AG171,DropINTable!AF171)</f>
        <v>737.32749264214749</v>
      </c>
      <c r="I232" s="46">
        <f>IF(+DropINTable!AG171=0,DropINTable!AH171,DropINTable!AG171)</f>
        <v>797.42890282637961</v>
      </c>
      <c r="J232" s="46">
        <f>IF(+DropINTable!AH171=0,DropINTable!AI171,DropINTable!AH171)</f>
        <v>884.7162919713054</v>
      </c>
      <c r="K232" s="46">
        <f>IF(+DropINTable!AI171=0,DropINTable!AJ171,DropINTable!AI171)</f>
        <v>958.80740020218252</v>
      </c>
      <c r="L232" s="46">
        <f>IF(+DropINTable!AJ171=0,DropINTable!AK171,DropINTable!AJ171)</f>
        <v>1047.8214007595664</v>
      </c>
      <c r="M232" s="46">
        <f>IF(+DropINTable!AK171=0,DropINTable!AL171,DropINTable!AK171)</f>
        <v>1094.9484009354214</v>
      </c>
      <c r="N232" s="46">
        <f>IF(+DropINTable!AL171=0,DropINTable!AM171,DropINTable!AL171)</f>
        <v>1150.0438658958115</v>
      </c>
      <c r="O232" s="46">
        <f>IF(+DropINTable!AM171=0,DropINTable!AN171,DropINTable!AM171)</f>
        <v>1281.6194339110302</v>
      </c>
      <c r="P232" s="46">
        <f>IF(+DropINTable!AN171=0,DropINTable!AO171,DropINTable!AN171)</f>
        <v>1437.1503676392567</v>
      </c>
      <c r="Q232" s="46">
        <f>IF(+DropINTable!AO171=0,DropINTable!AP171,DropINTable!AO171)</f>
        <v>1474.2217274161237</v>
      </c>
      <c r="R232" s="113"/>
      <c r="S232" s="113"/>
      <c r="T232" s="113"/>
      <c r="U232" s="113"/>
      <c r="V232" s="113"/>
      <c r="W232" s="113"/>
      <c r="X232" s="113"/>
      <c r="Y232" s="113"/>
      <c r="Z232" s="113"/>
      <c r="AA232" s="113"/>
      <c r="AB232" s="113"/>
      <c r="AC232" s="113"/>
      <c r="AD232" s="113"/>
      <c r="AE232" s="113"/>
      <c r="AF232" s="113"/>
      <c r="AG232" s="113"/>
      <c r="AH232" s="113"/>
      <c r="AI232" s="113"/>
      <c r="AJ232" s="113"/>
      <c r="AK232" s="113"/>
      <c r="AL232" s="113"/>
      <c r="AM232" s="113"/>
      <c r="AN232" s="113"/>
    </row>
    <row r="233" spans="1:40" x14ac:dyDescent="0.2">
      <c r="A233" t="s">
        <v>1087</v>
      </c>
      <c r="B233" s="86" t="s">
        <v>1088</v>
      </c>
      <c r="C233" t="str">
        <f t="shared" ref="C233:C243" si="79">+CONCATENATE(A$231,B233)</f>
        <v>ACT &amp; NT2+1</v>
      </c>
      <c r="D233" s="46">
        <f t="shared" ref="D233:D234" si="80">+E233</f>
        <v>764.51464921128593</v>
      </c>
      <c r="E233" s="46">
        <f>IF(+DropINTable!AC172=0,DropINTable!AD172,DropINTable!AC172)</f>
        <v>764.51464921128593</v>
      </c>
      <c r="F233" s="46">
        <f>IF(+DropINTable!AD172=0,DropINTable!AE172,DropINTable!AD172)</f>
        <v>764.51464921128593</v>
      </c>
      <c r="G233" s="46">
        <f>IF(+DropINTable!AE172=0,DropINTable!AF172,DropINTable!AE172)</f>
        <v>788.42585224299648</v>
      </c>
      <c r="H233" s="46">
        <f>IF(+DropINTable!AF172=0,DropINTable!AG172,DropINTable!AF172)</f>
        <v>831.90378741227721</v>
      </c>
      <c r="I233" s="46">
        <f>IF(+DropINTable!AG172=0,DropINTable!AH172,DropINTable!AG172)</f>
        <v>891.94816609038639</v>
      </c>
      <c r="J233" s="46">
        <f>IF(+DropINTable!AH172=0,DropINTable!AI172,DropINTable!AH172)</f>
        <v>979.15272165073384</v>
      </c>
      <c r="K233" s="46">
        <f>IF(+DropINTable!AI172=0,DropINTable!AJ172,DropINTable!AI172)</f>
        <v>1053.1735234430228</v>
      </c>
      <c r="L233" s="46">
        <f>IF(+DropINTable!AJ172=0,DropINTable!AK172,DropINTable!AJ172)</f>
        <v>1142.1030524170535</v>
      </c>
      <c r="M233" s="46">
        <f>IF(+DropINTable!AK172=0,DropINTable!AL172,DropINTable!AK172)</f>
        <v>1189.1853336107606</v>
      </c>
      <c r="N233" s="46">
        <f>IF(+DropINTable!AL172=0,DropINTable!AM172,DropINTable!AL172)</f>
        <v>1244.2285179474995</v>
      </c>
      <c r="O233" s="46">
        <f>IF(+DropINTable!AM172=0,DropINTable!AN172,DropINTable!AM172)</f>
        <v>1375.6792257701318</v>
      </c>
      <c r="P233" s="46">
        <f>IF(+DropINTable!AN172=0,DropINTable!AO172,DropINTable!AN172)</f>
        <v>1531.062568425773</v>
      </c>
      <c r="Q233" s="46">
        <f>IF(+DropINTable!AO172=0,DropINTable!AP172,DropINTable!AO172)</f>
        <v>1568.0987530948516</v>
      </c>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row>
    <row r="234" spans="1:40" x14ac:dyDescent="0.2">
      <c r="A234" t="s">
        <v>1089</v>
      </c>
      <c r="B234" s="86" t="s">
        <v>1090</v>
      </c>
      <c r="C234" t="str">
        <f t="shared" si="79"/>
        <v>ACT &amp; NT2+2</v>
      </c>
      <c r="D234" s="46">
        <f t="shared" si="80"/>
        <v>842.93565865249593</v>
      </c>
      <c r="E234" s="46">
        <f>IF(+DropINTable!AC173=0,DropINTable!AD173,DropINTable!AC173)</f>
        <v>842.93565865249593</v>
      </c>
      <c r="F234" s="46">
        <f>IF(+DropINTable!AD173=0,DropINTable!AE173,DropINTable!AD173)</f>
        <v>842.93565865249593</v>
      </c>
      <c r="G234" s="46">
        <f>IF(+DropINTable!AE173=0,DropINTable!AF173,DropINTable!AE173)</f>
        <v>866.94003026024723</v>
      </c>
      <c r="H234" s="46">
        <f>IF(+DropINTable!AF173=0,DropINTable!AG173,DropINTable!AF173)</f>
        <v>910.58737262507964</v>
      </c>
      <c r="I234" s="46">
        <f>IF(+DropINTable!AG173=0,DropINTable!AH173,DropINTable!AG173)</f>
        <v>970.86570441939375</v>
      </c>
      <c r="J234" s="46">
        <f>IF(+DropINTable!AH173=0,DropINTable!AI173,DropINTable!AH173)</f>
        <v>1058.4100464634248</v>
      </c>
      <c r="K234" s="46">
        <f>IF(+DropINTable!AI173=0,DropINTable!AJ173,DropINTable!AI173)</f>
        <v>1132.7192584996053</v>
      </c>
      <c r="L234" s="46">
        <f>IF(+DropINTable!AJ173=0,DropINTable!AK173,DropINTable!AJ173)</f>
        <v>1221.995295023821</v>
      </c>
      <c r="M234" s="46">
        <f>IF(+DropINTable!AK173=0,DropINTable!AL173,DropINTable!AK173)</f>
        <v>1269.2610243175125</v>
      </c>
      <c r="N234" s="46">
        <f>IF(+DropINTable!AL173=0,DropINTable!AM173,DropINTable!AL173)</f>
        <v>1324.5186757337078</v>
      </c>
      <c r="O234" s="46">
        <f>IF(+DropINTable!AM173=0,DropINTable!AN173,DropINTable!AM173)</f>
        <v>1456.4815681338782</v>
      </c>
      <c r="P234" s="46">
        <f>IF(+DropINTable!AN173=0,DropINTable!AO173,DropINTable!AN173)</f>
        <v>1612.4703459827081</v>
      </c>
      <c r="Q234" s="46">
        <f>IF(+DropINTable!AO173=0,DropINTable!AP173,DropINTable!AO173)</f>
        <v>1649.6508353731083</v>
      </c>
      <c r="R234" s="113"/>
      <c r="S234" s="113"/>
      <c r="T234" s="113"/>
      <c r="U234" s="113"/>
      <c r="V234" s="113"/>
      <c r="W234" s="113"/>
      <c r="X234" s="113"/>
      <c r="Y234" s="113"/>
      <c r="Z234" s="113"/>
      <c r="AA234" s="113"/>
      <c r="AB234" s="113"/>
      <c r="AC234" s="113"/>
      <c r="AD234" s="113"/>
      <c r="AE234" s="113"/>
      <c r="AF234" s="113"/>
      <c r="AG234" s="113"/>
      <c r="AH234" s="113"/>
      <c r="AI234" s="113"/>
      <c r="AJ234" s="113"/>
      <c r="AK234" s="113"/>
      <c r="AL234" s="113"/>
      <c r="AM234" s="113"/>
      <c r="AN234" s="113"/>
    </row>
    <row r="235" spans="1:40" x14ac:dyDescent="0.2">
      <c r="A235" t="s">
        <v>1091</v>
      </c>
      <c r="B235" s="86" t="s">
        <v>1092</v>
      </c>
      <c r="C235" t="str">
        <f t="shared" si="79"/>
        <v>ACT &amp; NT2+3</v>
      </c>
      <c r="D235" s="46">
        <f t="shared" ref="D235" si="81">+F235</f>
        <v>936.11614822355114</v>
      </c>
      <c r="E235" s="46">
        <f>+F235</f>
        <v>936.11614822355114</v>
      </c>
      <c r="F235" s="46">
        <f>IF(+DropINTable!AD174=0,DropINTable!AE174,DropINTable!AD174)</f>
        <v>936.11614822355114</v>
      </c>
      <c r="G235" s="46">
        <f>IF(+DropINTable!AE174=0,DropINTable!AF174,DropINTable!AE174)</f>
        <v>936.11614822355114</v>
      </c>
      <c r="H235" s="46">
        <f>IF(+DropINTable!AF174=0,DropINTable!AG174,DropINTable!AF174)</f>
        <v>979.91196412448892</v>
      </c>
      <c r="I235" s="46">
        <f>IF(+DropINTable!AG174=0,DropINTable!AH174,DropINTable!AG174)</f>
        <v>1040.3953401136366</v>
      </c>
      <c r="J235" s="46">
        <f>IF(+DropINTable!AH174=0,DropINTable!AI174,DropINTable!AH174)</f>
        <v>1128.2374750744805</v>
      </c>
      <c r="K235" s="46">
        <f>IF(+DropINTable!AI174=0,DropINTable!AJ174,DropINTable!AI174)</f>
        <v>1202.7994603407117</v>
      </c>
      <c r="L235" s="46">
        <f>IF(+DropINTable!AJ174=0,DropINTable!AK174,DropINTable!AJ174)</f>
        <v>1292.3791823169095</v>
      </c>
      <c r="M235" s="46">
        <f>IF(+DropINTable!AK174=0,DropINTable!AL174,DropINTable!AK174)</f>
        <v>1339.8056938238751</v>
      </c>
      <c r="N235" s="46">
        <f>IF(+DropINTable!AL174=0,DropINTable!AM174,DropINTable!AL174)</f>
        <v>1395.2513105157147</v>
      </c>
      <c r="O235" s="46">
        <f>IF(+DropINTable!AM174=0,DropINTable!AN174,DropINTable!AM174)</f>
        <v>1527.6630926221721</v>
      </c>
      <c r="P235" s="46">
        <f>IF(+DropINTable!AN174=0,DropINTable!AO174,DropINTable!AN174)</f>
        <v>1684.1824866547936</v>
      </c>
      <c r="Q235" s="46">
        <f>IF(+DropINTable!AO174=0,DropINTable!AP174,DropINTable!AO174)</f>
        <v>1721.4894518407325</v>
      </c>
      <c r="R235" s="113"/>
      <c r="S235" s="113"/>
      <c r="T235" s="113"/>
      <c r="U235" s="113"/>
      <c r="V235" s="113"/>
      <c r="W235" s="113"/>
      <c r="X235" s="113"/>
      <c r="Y235" s="113"/>
      <c r="Z235" s="113"/>
      <c r="AA235" s="113"/>
      <c r="AB235" s="113"/>
      <c r="AC235" s="113"/>
      <c r="AD235" s="113"/>
      <c r="AE235" s="113"/>
      <c r="AF235" s="113"/>
      <c r="AG235" s="113"/>
      <c r="AH235" s="113"/>
      <c r="AI235" s="113"/>
      <c r="AJ235" s="113"/>
      <c r="AK235" s="113"/>
      <c r="AL235" s="113"/>
      <c r="AM235" s="113"/>
      <c r="AN235" s="113"/>
    </row>
    <row r="236" spans="1:40" x14ac:dyDescent="0.2">
      <c r="B236" s="86" t="s">
        <v>1093</v>
      </c>
      <c r="C236" t="str">
        <f t="shared" ref="C236:C238" si="82">+CONCATENATE(A$231,B236)</f>
        <v>ACT &amp; NT2+4</v>
      </c>
      <c r="D236" s="46">
        <f>+D235+Per_child_accounting!$AD$121</f>
        <v>1030.756452473031</v>
      </c>
      <c r="E236" s="46">
        <f>+E235+Per_child_accounting!$AD$121</f>
        <v>1030.756452473031</v>
      </c>
      <c r="F236" s="46">
        <f>+F235+Per_child_accounting!AD$121</f>
        <v>1030.756452473031</v>
      </c>
      <c r="G236" s="46">
        <f>+G235+Per_child_accounting!AE$121</f>
        <v>1030.7337404613945</v>
      </c>
      <c r="H236" s="46">
        <f>+H235+Per_child_accounting!AF$121</f>
        <v>1074.4882588946186</v>
      </c>
      <c r="I236" s="46">
        <f>+I235+Per_child_accounting!AG$121</f>
        <v>1134.9146033776433</v>
      </c>
      <c r="J236" s="46">
        <f>+J235+Per_child_accounting!AH$121</f>
        <v>1222.673904753909</v>
      </c>
      <c r="K236" s="46">
        <f>+K235+Per_child_accounting!AI$121</f>
        <v>1297.1655835815518</v>
      </c>
      <c r="L236" s="46">
        <f>+L235+Per_child_accounting!AJ$121</f>
        <v>1386.6608339743966</v>
      </c>
      <c r="M236" s="46">
        <f>+M235+Per_child_accounting!AK$121</f>
        <v>1434.0426264992143</v>
      </c>
      <c r="N236" s="46">
        <f>+N235+Per_child_accounting!AL$121</f>
        <v>1489.4359625674028</v>
      </c>
      <c r="O236" s="46">
        <f>+O235+Per_child_accounting!AM$121</f>
        <v>1621.7228844812737</v>
      </c>
      <c r="P236" s="46">
        <f>+P235+Per_child_accounting!AN$121</f>
        <v>1778.0946874413098</v>
      </c>
      <c r="Q236" s="46">
        <f>+Q235+Per_child_accounting!AO$121</f>
        <v>1815.3664775194604</v>
      </c>
      <c r="R236" s="113"/>
      <c r="S236" s="113"/>
      <c r="T236" s="113"/>
      <c r="U236" s="113"/>
      <c r="V236" s="113"/>
      <c r="W236" s="113"/>
      <c r="X236" s="113"/>
      <c r="Y236" s="113"/>
      <c r="Z236" s="113"/>
      <c r="AA236" s="113"/>
      <c r="AB236" s="113"/>
      <c r="AC236" s="113"/>
      <c r="AD236" s="113"/>
      <c r="AE236" s="113"/>
      <c r="AF236" s="113"/>
      <c r="AG236" s="113"/>
      <c r="AH236" s="113"/>
      <c r="AI236" s="113"/>
      <c r="AJ236" s="113"/>
      <c r="AK236" s="113"/>
      <c r="AL236" s="113"/>
      <c r="AM236" s="113"/>
      <c r="AN236" s="113"/>
    </row>
    <row r="237" spans="1:40" x14ac:dyDescent="0.2">
      <c r="B237" s="86" t="s">
        <v>1094</v>
      </c>
      <c r="C237" t="str">
        <f t="shared" si="82"/>
        <v>ACT &amp; NT2+5</v>
      </c>
      <c r="D237" s="46">
        <f>+D236+Per_child_accounting!$AD$121</f>
        <v>1125.3967567225109</v>
      </c>
      <c r="E237" s="46">
        <f>+E236+Per_child_accounting!$AD$121</f>
        <v>1125.3967567225109</v>
      </c>
      <c r="F237" s="46">
        <f>+F236+Per_child_accounting!$AD$121</f>
        <v>1125.3967567225109</v>
      </c>
      <c r="G237" s="46">
        <f>+G236+Per_child_accounting!AE$121</f>
        <v>1125.3513326992379</v>
      </c>
      <c r="H237" s="46">
        <f>+H236+Per_child_accounting!AF$121</f>
        <v>1169.0645536647485</v>
      </c>
      <c r="I237" s="46">
        <f>+I236+Per_child_accounting!AG$121</f>
        <v>1229.4338666416502</v>
      </c>
      <c r="J237" s="46">
        <f>+J236+Per_child_accounting!AH$121</f>
        <v>1317.1103344333374</v>
      </c>
      <c r="K237" s="46">
        <f>+K236+Per_child_accounting!AI$121</f>
        <v>1391.5317068223922</v>
      </c>
      <c r="L237" s="46">
        <f>+L236+Per_child_accounting!AJ$121</f>
        <v>1480.9424856318838</v>
      </c>
      <c r="M237" s="46">
        <f>+M236+Per_child_accounting!AK$121</f>
        <v>1528.2795591745535</v>
      </c>
      <c r="N237" s="46">
        <f>+N236+Per_child_accounting!AL$121</f>
        <v>1583.6206146190909</v>
      </c>
      <c r="O237" s="46">
        <f>+O236+Per_child_accounting!AM$121</f>
        <v>1715.7826763403752</v>
      </c>
      <c r="P237" s="46">
        <f>+P236+Per_child_accounting!AN$121</f>
        <v>1872.006888227826</v>
      </c>
      <c r="Q237" s="46">
        <f>+Q236+Per_child_accounting!AO$121</f>
        <v>1909.2435031981884</v>
      </c>
      <c r="R237" s="113"/>
      <c r="S237" s="113"/>
      <c r="T237" s="113"/>
      <c r="U237" s="113"/>
      <c r="V237" s="113"/>
      <c r="W237" s="113"/>
      <c r="X237" s="113"/>
      <c r="Y237" s="113"/>
      <c r="Z237" s="113"/>
      <c r="AA237" s="113"/>
      <c r="AB237" s="113"/>
      <c r="AC237" s="113"/>
      <c r="AD237" s="113"/>
      <c r="AE237" s="113"/>
      <c r="AF237" s="113"/>
      <c r="AG237" s="113"/>
      <c r="AH237" s="113"/>
      <c r="AI237" s="113"/>
      <c r="AJ237" s="113"/>
      <c r="AK237" s="113"/>
      <c r="AL237" s="113"/>
      <c r="AM237" s="113"/>
      <c r="AN237" s="113"/>
    </row>
    <row r="238" spans="1:40" x14ac:dyDescent="0.2">
      <c r="B238" s="86" t="s">
        <v>1095</v>
      </c>
      <c r="C238" t="str">
        <f t="shared" si="82"/>
        <v>ACT &amp; NT2+6</v>
      </c>
      <c r="D238" s="46">
        <f>+D237+Per_child_accounting!$AD$121</f>
        <v>1220.0370609719907</v>
      </c>
      <c r="E238" s="46">
        <f>+E237+Per_child_accounting!$AD$121</f>
        <v>1220.0370609719907</v>
      </c>
      <c r="F238" s="46">
        <f>+F237+Per_child_accounting!$AD$121</f>
        <v>1220.0370609719907</v>
      </c>
      <c r="G238" s="46">
        <f>+G237+Per_child_accounting!AE$121</f>
        <v>1219.9689249370813</v>
      </c>
      <c r="H238" s="46">
        <f>+H237+Per_child_accounting!AF$121</f>
        <v>1263.6408484348781</v>
      </c>
      <c r="I238" s="46">
        <f>+I237+Per_child_accounting!AG$121</f>
        <v>1323.9531299056571</v>
      </c>
      <c r="J238" s="46">
        <f>+J237+Per_child_accounting!AH$121</f>
        <v>1411.5467641127657</v>
      </c>
      <c r="K238" s="46">
        <f>+K237+Per_child_accounting!AI$121</f>
        <v>1485.8978300632325</v>
      </c>
      <c r="L238" s="46">
        <f>+L237+Per_child_accounting!AJ$121</f>
        <v>1575.2241372893709</v>
      </c>
      <c r="M238" s="46">
        <f>+M237+Per_child_accounting!AK$121</f>
        <v>1622.5164918498926</v>
      </c>
      <c r="N238" s="46">
        <f>+N237+Per_child_accounting!AL$121</f>
        <v>1677.805266670779</v>
      </c>
      <c r="O238" s="46">
        <f>+O237+Per_child_accounting!AM$121</f>
        <v>1809.8424681994768</v>
      </c>
      <c r="P238" s="46">
        <f>+P237+Per_child_accounting!AN$121</f>
        <v>1965.9190890143423</v>
      </c>
      <c r="Q238" s="46">
        <f>+Q237+Per_child_accounting!AO$121</f>
        <v>2003.1205288769163</v>
      </c>
      <c r="R238" s="113"/>
      <c r="S238" s="113"/>
      <c r="T238" s="113"/>
      <c r="U238" s="113"/>
      <c r="V238" s="113"/>
      <c r="W238" s="113"/>
      <c r="X238" s="113"/>
      <c r="Y238" s="113"/>
      <c r="Z238" s="113"/>
      <c r="AA238" s="113"/>
      <c r="AB238" s="113"/>
      <c r="AC238" s="113"/>
      <c r="AD238" s="113"/>
      <c r="AE238" s="113"/>
      <c r="AF238" s="113"/>
      <c r="AG238" s="113"/>
      <c r="AH238" s="113"/>
      <c r="AI238" s="113"/>
      <c r="AJ238" s="113"/>
      <c r="AK238" s="113"/>
      <c r="AL238" s="113"/>
      <c r="AM238" s="113"/>
      <c r="AN238" s="113"/>
    </row>
    <row r="239" spans="1:40" x14ac:dyDescent="0.2">
      <c r="B239" s="86"/>
      <c r="D239" s="46"/>
      <c r="E239" s="46"/>
      <c r="F239" s="46"/>
      <c r="G239" s="46"/>
      <c r="H239" s="46"/>
      <c r="I239" s="46"/>
      <c r="J239" s="46"/>
      <c r="K239" s="46"/>
      <c r="L239" s="46"/>
      <c r="M239" s="46"/>
      <c r="N239" s="46"/>
      <c r="O239" s="46"/>
      <c r="P239" s="46"/>
      <c r="Q239" s="46"/>
      <c r="S239" s="113"/>
      <c r="T239" s="113"/>
      <c r="U239" s="113"/>
      <c r="V239" s="113"/>
      <c r="W239" s="113"/>
      <c r="X239" s="113"/>
      <c r="Y239" s="113"/>
      <c r="Z239" s="113"/>
      <c r="AA239" s="113"/>
      <c r="AB239" s="113"/>
      <c r="AC239" s="113"/>
      <c r="AD239" s="113"/>
      <c r="AE239" s="113"/>
      <c r="AF239" s="113"/>
      <c r="AG239" s="113"/>
      <c r="AH239" s="113"/>
      <c r="AI239" s="113"/>
      <c r="AJ239" s="113"/>
      <c r="AK239" s="113"/>
      <c r="AL239" s="113"/>
      <c r="AM239" s="113"/>
      <c r="AN239" s="113"/>
    </row>
    <row r="240" spans="1:40" x14ac:dyDescent="0.2">
      <c r="A240" t="s">
        <v>1096</v>
      </c>
      <c r="B240" s="86" t="s">
        <v>1097</v>
      </c>
      <c r="C240" t="str">
        <f t="shared" si="79"/>
        <v>ACT &amp; NT1+0</v>
      </c>
      <c r="D240" s="46">
        <f>IF(+DropINTable!AB176=0,DropINTable!AC176,DropINTable!AB176)</f>
        <v>349.63987097485074</v>
      </c>
      <c r="E240" s="46">
        <f>IF(+DropINTable!AC176=0,DropINTable!AD176,DropINTable!AC176)</f>
        <v>366.78112632601665</v>
      </c>
      <c r="F240" s="46">
        <f>IF(+DropINTable!AD176=0,DropINTable!AE176,DropINTable!AD176)</f>
        <v>382.92945119194997</v>
      </c>
      <c r="G240" s="46">
        <f>IF(+DropINTable!AE176=0,DropINTable!AF176,DropINTable!AE176)</f>
        <v>406.63323312936467</v>
      </c>
      <c r="H240" s="46">
        <f>IF(+DropINTable!AF176=0,DropINTable!AG176,DropINTable!AF176)</f>
        <v>449.7340136874663</v>
      </c>
      <c r="I240" s="46">
        <f>IF(+DropINTable!AG176=0,DropINTable!AH176,DropINTable!AG176)</f>
        <v>509.25752820597762</v>
      </c>
      <c r="J240" s="46">
        <f>IF(+DropINTable!AH176=0,DropINTable!AI176,DropINTable!AH176)</f>
        <v>595.70561805666648</v>
      </c>
      <c r="K240" s="46">
        <f>IF(+DropINTable!AI176=0,DropINTable!AJ176,DropINTable!AI176)</f>
        <v>669.08431501842233</v>
      </c>
      <c r="L240" s="46">
        <f>IF(+DropINTable!AJ176=0,DropINTable!AK176,DropINTable!AJ176)</f>
        <v>757.24241608106684</v>
      </c>
      <c r="M240" s="46">
        <f>IF(+DropINTable!AK176=0,DropINTable!AL176,DropINTable!AK176)</f>
        <v>803.91627340212767</v>
      </c>
      <c r="N240" s="46">
        <f>IF(+DropINTable!AL176=0,DropINTable!AM176,DropINTable!AL176)</f>
        <v>858.48197655929869</v>
      </c>
      <c r="O240" s="46">
        <f>IF(+DropINTable!AM176=0,DropINTable!AN176,DropINTable!AM176)</f>
        <v>988.79240095219689</v>
      </c>
      <c r="P240" s="46">
        <f>IF(+DropINTable!AN176=0,DropINTable!AO176,DropINTable!AN176)</f>
        <v>1142.8278510875982</v>
      </c>
      <c r="Q240" s="46">
        <f>IF(+DropINTable!AO176=0,DropINTable!AP176,DropINTable!AO176)</f>
        <v>1179.5427570241636</v>
      </c>
      <c r="R240" s="113"/>
      <c r="S240" s="113"/>
      <c r="T240" s="113"/>
      <c r="U240" s="113"/>
      <c r="V240" s="113"/>
      <c r="W240" s="113"/>
      <c r="X240" s="113"/>
      <c r="Y240" s="113"/>
      <c r="Z240" s="113"/>
      <c r="AA240" s="113"/>
      <c r="AB240" s="113"/>
      <c r="AC240" s="113"/>
      <c r="AD240" s="113"/>
      <c r="AE240" s="113"/>
      <c r="AF240" s="113"/>
      <c r="AG240" s="113"/>
      <c r="AH240" s="113"/>
      <c r="AI240" s="113"/>
      <c r="AJ240" s="113"/>
      <c r="AK240" s="113"/>
      <c r="AL240" s="113"/>
      <c r="AM240" s="113"/>
      <c r="AN240" s="113"/>
    </row>
    <row r="241" spans="1:40" x14ac:dyDescent="0.2">
      <c r="A241" t="s">
        <v>1098</v>
      </c>
      <c r="B241" s="86" t="s">
        <v>1099</v>
      </c>
      <c r="C241" t="str">
        <f t="shared" si="79"/>
        <v>ACT &amp; NT1+1</v>
      </c>
      <c r="D241" s="46">
        <f>IF(+DropINTable!AB177=0,DropINTable!AC177,DropINTable!AB177)</f>
        <v>466.15398691512206</v>
      </c>
      <c r="E241" s="46">
        <f>IF(+DropINTable!AC177=0,DropINTable!AD177,DropINTable!AC177)</f>
        <v>466.15398691512206</v>
      </c>
      <c r="F241" s="46">
        <f>IF(+DropINTable!AD177=0,DropINTable!AE177,DropINTable!AD177)</f>
        <v>482.20177499395362</v>
      </c>
      <c r="G241" s="46">
        <f>IF(+DropINTable!AE177=0,DropINTable!AF177,DropINTable!AE177)</f>
        <v>505.75798423703162</v>
      </c>
      <c r="H241" s="46">
        <f>IF(+DropINTable!AF177=0,DropINTable!AG177,DropINTable!AF177)</f>
        <v>548.59042904199407</v>
      </c>
      <c r="I241" s="46">
        <f>IF(+DropINTable!AG177=0,DropINTable!AH177,DropINTable!AG177)</f>
        <v>607.74336324181729</v>
      </c>
      <c r="J241" s="46">
        <f>IF(+DropINTable!AH177=0,DropINTable!AI177,DropINTable!AH177)</f>
        <v>693.6532489318588</v>
      </c>
      <c r="K241" s="46">
        <f>IF(+DropINTable!AI177=0,DropINTable!AJ177,DropINTable!AI177)</f>
        <v>766.57510766656549</v>
      </c>
      <c r="L241" s="46">
        <f>IF(+DropINTable!AJ177=0,DropINTable!AK177,DropINTable!AJ177)</f>
        <v>854.18435583561666</v>
      </c>
      <c r="M241" s="46">
        <f>IF(+DropINTable!AK177=0,DropINTable!AL177,DropINTable!AK177)</f>
        <v>900.56763456513045</v>
      </c>
      <c r="N241" s="46">
        <f>IF(+DropINTable!AL177=0,DropINTable!AM177,DropINTable!AL177)</f>
        <v>954.79362664114103</v>
      </c>
      <c r="O241" s="46">
        <f>IF(+DropINTable!AM177=0,DropINTable!AN177,DropINTable!AM177)</f>
        <v>1084.2927672021117</v>
      </c>
      <c r="P241" s="46">
        <f>IF(+DropINTable!AN177=0,DropINTable!AO177,DropINTable!AN177)</f>
        <v>1237.3692290771221</v>
      </c>
      <c r="Q241" s="46">
        <f>IF(+DropINTable!AO177=0,DropINTable!AP177,DropINTable!AO177)</f>
        <v>1273.8555554790801</v>
      </c>
      <c r="R241" s="113"/>
      <c r="S241" s="113"/>
      <c r="T241" s="113"/>
      <c r="U241" s="113"/>
      <c r="V241" s="113"/>
      <c r="W241" s="113"/>
      <c r="X241" s="113"/>
      <c r="Y241" s="113"/>
      <c r="Z241" s="113"/>
      <c r="AA241" s="113"/>
      <c r="AB241" s="113"/>
      <c r="AC241" s="113"/>
      <c r="AD241" s="113"/>
      <c r="AE241" s="113"/>
      <c r="AF241" s="113"/>
      <c r="AG241" s="113"/>
      <c r="AH241" s="113"/>
      <c r="AI241" s="113"/>
      <c r="AJ241" s="113"/>
      <c r="AK241" s="113"/>
      <c r="AL241" s="113"/>
      <c r="AM241" s="113"/>
      <c r="AN241" s="113"/>
    </row>
    <row r="242" spans="1:40" x14ac:dyDescent="0.2">
      <c r="A242" t="s">
        <v>1100</v>
      </c>
      <c r="B242" s="86" t="s">
        <v>1101</v>
      </c>
      <c r="C242" t="str">
        <f t="shared" si="79"/>
        <v>ACT &amp; NT1+2</v>
      </c>
      <c r="D242" s="46">
        <f>IF(+DropINTable!AB178=0,DropINTable!AC178,DropINTable!AB178)</f>
        <v>583.92838231086091</v>
      </c>
      <c r="E242" s="46">
        <f>IF(+DropINTable!AC178=0,DropINTable!AD178,DropINTable!AC178)</f>
        <v>583.92838231086091</v>
      </c>
      <c r="F242" s="46">
        <f>IF(+DropINTable!AD178=0,DropINTable!AE178,DropINTable!AD178)</f>
        <v>599.98743971061856</v>
      </c>
      <c r="G242" s="46">
        <f>IF(+DropINTable!AE178=0,DropINTable!AF178,DropINTable!AE178)</f>
        <v>623.56018434657722</v>
      </c>
      <c r="H242" s="46">
        <f>IF(+DropINTable!AF178=0,DropINTable!AG178,DropINTable!AF178)</f>
        <v>666.42269838963023</v>
      </c>
      <c r="I242" s="46">
        <f>IF(+DropINTable!AG178=0,DropINTable!AH178,DropINTable!AG178)</f>
        <v>725.61715770344938</v>
      </c>
      <c r="J242" s="46">
        <f>IF(+DropINTable!AH178=0,DropINTable!AI178,DropINTable!AH178)</f>
        <v>811.58735353937698</v>
      </c>
      <c r="K242" s="46">
        <f>IF(+DropINTable!AI178=0,DropINTable!AJ178,DropINTable!AI178)</f>
        <v>884.56040130828478</v>
      </c>
      <c r="L242" s="46">
        <f>IF(+DropINTable!AJ178=0,DropINTable!AK178,DropINTable!AJ178)</f>
        <v>972.23115351483534</v>
      </c>
      <c r="M242" s="46">
        <f>IF(+DropINTable!AK178=0,DropINTable!AL178,DropINTable!AK178)</f>
        <v>1018.6469906837409</v>
      </c>
      <c r="N242" s="46">
        <f>IF(+DropINTable!AL178=0,DropINTable!AM178,DropINTable!AL178)</f>
        <v>1072.9110494782749</v>
      </c>
      <c r="O242" s="46">
        <f>IF(+DropINTable!AM178=0,DropINTable!AN178,DropINTable!AM178)</f>
        <v>1202.5010953958288</v>
      </c>
      <c r="P242" s="46">
        <f>IF(+DropINTable!AN178=0,DropINTable!AO178,DropINTable!AN178)</f>
        <v>1355.6850173050277</v>
      </c>
      <c r="Q242" s="46">
        <f>IF(+DropINTable!AO178=0,DropINTable!AP178,DropINTable!AO178)</f>
        <v>1392.1969619610568</v>
      </c>
      <c r="R242" s="113"/>
      <c r="S242" s="113"/>
      <c r="T242" s="113"/>
      <c r="U242" s="113"/>
      <c r="V242" s="113"/>
      <c r="W242" s="113"/>
      <c r="X242" s="113"/>
      <c r="Y242" s="113"/>
      <c r="Z242" s="113"/>
      <c r="AA242" s="113"/>
      <c r="AB242" s="113"/>
      <c r="AC242" s="113"/>
      <c r="AD242" s="113"/>
      <c r="AE242" s="113"/>
      <c r="AF242" s="113"/>
      <c r="AG242" s="113"/>
      <c r="AH242" s="113"/>
      <c r="AI242" s="113"/>
      <c r="AJ242" s="113"/>
      <c r="AK242" s="113"/>
      <c r="AL242" s="113"/>
      <c r="AM242" s="113"/>
      <c r="AN242" s="113"/>
    </row>
    <row r="243" spans="1:40" x14ac:dyDescent="0.2">
      <c r="A243" t="s">
        <v>1102</v>
      </c>
      <c r="B243" s="86" t="s">
        <v>1103</v>
      </c>
      <c r="C243" t="str">
        <f t="shared" si="79"/>
        <v>ACT &amp; NT1+3</v>
      </c>
      <c r="D243" s="46">
        <f>+E243</f>
        <v>717.77310442728344</v>
      </c>
      <c r="E243" s="46">
        <f>IF(+DropINTable!AC179=0,DropINTable!AD179,DropINTable!AC179)</f>
        <v>717.77310442728344</v>
      </c>
      <c r="F243" s="46">
        <f>IF(+DropINTable!AD179=0,DropINTable!AE179,DropINTable!AD179)</f>
        <v>717.77310442728344</v>
      </c>
      <c r="G243" s="46">
        <f>IF(+DropINTable!AE179=0,DropINTable!AF179,DropINTable!AE179)</f>
        <v>741.36238445612275</v>
      </c>
      <c r="H243" s="46">
        <f>IF(+DropINTable!AF179=0,DropINTable!AG179,DropINTable!AF179)</f>
        <v>784.25496773726638</v>
      </c>
      <c r="I243" s="46">
        <f>IF(+DropINTable!AG179=0,DropINTable!AH179,DropINTable!AG179)</f>
        <v>843.49095216508147</v>
      </c>
      <c r="J243" s="46">
        <f>IF(+DropINTable!AH179=0,DropINTable!AI179,DropINTable!AH179)</f>
        <v>929.52145814689516</v>
      </c>
      <c r="K243" s="46">
        <f>IF(+DropINTable!AI179=0,DropINTable!AJ179,DropINTable!AI179)</f>
        <v>1002.5456949500041</v>
      </c>
      <c r="L243" s="46">
        <f>IF(+DropINTable!AJ179=0,DropINTable!AK179,DropINTable!AJ179)</f>
        <v>1090.2779511940539</v>
      </c>
      <c r="M243" s="46">
        <f>IF(+DropINTable!AK179=0,DropINTable!AL179,DropINTable!AK179)</f>
        <v>1136.7263468023514</v>
      </c>
      <c r="N243" s="46">
        <f>IF(+DropINTable!AL179=0,DropINTable!AM179,DropINTable!AL179)</f>
        <v>1191.0284723154086</v>
      </c>
      <c r="O243" s="46">
        <f>IF(+DropINTable!AM179=0,DropINTable!AN179,DropINTable!AM179)</f>
        <v>1320.7094235895458</v>
      </c>
      <c r="P243" s="46">
        <f>IF(+DropINTable!AN179=0,DropINTable!AO179,DropINTable!AN179)</f>
        <v>1474.0008055329333</v>
      </c>
      <c r="Q243" s="46">
        <f>IF(+DropINTable!AO179=0,DropINTable!AP179,DropINTable!AO179)</f>
        <v>1510.5383684430335</v>
      </c>
      <c r="R243" s="113"/>
      <c r="S243" s="113"/>
      <c r="T243" s="113"/>
      <c r="U243" s="113"/>
      <c r="V243" s="113"/>
      <c r="W243" s="113"/>
      <c r="X243" s="113"/>
      <c r="Y243" s="113"/>
      <c r="Z243" s="113"/>
      <c r="AA243" s="113"/>
      <c r="AB243" s="113"/>
      <c r="AC243" s="113"/>
      <c r="AD243" s="113"/>
      <c r="AE243" s="113"/>
      <c r="AF243" s="113"/>
      <c r="AG243" s="113"/>
      <c r="AH243" s="113"/>
      <c r="AI243" s="113"/>
      <c r="AJ243" s="113"/>
      <c r="AK243" s="113"/>
      <c r="AL243" s="113"/>
      <c r="AM243" s="113"/>
      <c r="AN243" s="113"/>
    </row>
    <row r="244" spans="1:40" x14ac:dyDescent="0.2">
      <c r="B244" s="86" t="s">
        <v>1104</v>
      </c>
      <c r="C244" t="str">
        <f t="shared" ref="C244:C246" si="83">+CONCATENATE(A$231,B244)</f>
        <v>ACT &amp; NT1+4</v>
      </c>
      <c r="D244" s="46">
        <f>+D243+Per_child_accounting!AC$124</f>
        <v>817.1459650163888</v>
      </c>
      <c r="E244" s="46">
        <f>+E243+Per_child_accounting!AC$124</f>
        <v>817.1459650163888</v>
      </c>
      <c r="F244" s="46">
        <f>+F243+Per_child_accounting!AD$124</f>
        <v>817.04542822928715</v>
      </c>
      <c r="G244" s="46">
        <f>+G243+Per_child_accounting!AE$124</f>
        <v>840.48713556378971</v>
      </c>
      <c r="H244" s="46">
        <f>+H243+Per_child_accounting!AF$124</f>
        <v>883.1113830917941</v>
      </c>
      <c r="I244" s="46">
        <f>+I243+Per_child_accounting!AG$124</f>
        <v>941.97678720092108</v>
      </c>
      <c r="J244" s="46">
        <f>+J243+Per_child_accounting!AH$124</f>
        <v>1027.4690890220875</v>
      </c>
      <c r="K244" s="46">
        <f>+K243+Per_child_accounting!AI$124</f>
        <v>1100.0364875981472</v>
      </c>
      <c r="L244" s="46">
        <f>+L243+Per_child_accounting!AJ$124</f>
        <v>1187.2198909486037</v>
      </c>
      <c r="M244" s="46">
        <f>+M243+Per_child_accounting!AK$124</f>
        <v>1233.3777079653541</v>
      </c>
      <c r="N244" s="46">
        <f>+N243+Per_child_accounting!AL$124</f>
        <v>1287.340122397251</v>
      </c>
      <c r="O244" s="46">
        <f>+O243+Per_child_accounting!AM$124</f>
        <v>1416.2097898394607</v>
      </c>
      <c r="P244" s="46">
        <f>+P243+Per_child_accounting!AN$124</f>
        <v>1568.5421835224572</v>
      </c>
      <c r="Q244" s="46">
        <f>+Q243+Per_child_accounting!AO$124</f>
        <v>1604.85116689795</v>
      </c>
      <c r="R244" s="113"/>
      <c r="S244" s="113"/>
      <c r="T244" s="113"/>
      <c r="U244" s="113"/>
      <c r="V244" s="113"/>
      <c r="W244" s="113"/>
      <c r="X244" s="113"/>
      <c r="Y244" s="113"/>
      <c r="Z244" s="113"/>
      <c r="AA244" s="113"/>
      <c r="AB244" s="113"/>
      <c r="AC244" s="113"/>
      <c r="AD244" s="113"/>
      <c r="AE244" s="113"/>
      <c r="AF244" s="113"/>
      <c r="AG244" s="113"/>
      <c r="AH244" s="113"/>
      <c r="AI244" s="113"/>
      <c r="AJ244" s="113"/>
      <c r="AK244" s="113"/>
      <c r="AL244" s="113"/>
      <c r="AM244" s="113"/>
      <c r="AN244" s="113"/>
    </row>
    <row r="245" spans="1:40" x14ac:dyDescent="0.2">
      <c r="B245" s="86" t="s">
        <v>1105</v>
      </c>
      <c r="C245" t="str">
        <f t="shared" si="83"/>
        <v>ACT &amp; NT1+5</v>
      </c>
      <c r="D245" s="46">
        <f>+D244+Per_child_accounting!AC$124</f>
        <v>916.51882560549416</v>
      </c>
      <c r="E245" s="46">
        <f>+E244+Per_child_accounting!AC$124</f>
        <v>916.51882560549416</v>
      </c>
      <c r="F245" s="46">
        <f>+F244+Per_child_accounting!AD$124</f>
        <v>916.31775203129087</v>
      </c>
      <c r="G245" s="46">
        <f>+G244+Per_child_accounting!AE$124</f>
        <v>939.61188667145666</v>
      </c>
      <c r="H245" s="46">
        <f>+H244+Per_child_accounting!AF$124</f>
        <v>981.96779844632192</v>
      </c>
      <c r="I245" s="46">
        <f>+I244+Per_child_accounting!AG$124</f>
        <v>1040.4626222367608</v>
      </c>
      <c r="J245" s="46">
        <f>+J244+Per_child_accounting!AH$124</f>
        <v>1125.4167198972798</v>
      </c>
      <c r="K245" s="46">
        <f>+K244+Per_child_accounting!AI$124</f>
        <v>1197.5272802462905</v>
      </c>
      <c r="L245" s="46">
        <f>+L244+Per_child_accounting!AJ$124</f>
        <v>1284.1618307031536</v>
      </c>
      <c r="M245" s="46">
        <f>+M244+Per_child_accounting!AK$124</f>
        <v>1330.0290691283569</v>
      </c>
      <c r="N245" s="46">
        <f>+N244+Per_child_accounting!AL$124</f>
        <v>1383.6517724790933</v>
      </c>
      <c r="O245" s="46">
        <f>+O244+Per_child_accounting!AM$124</f>
        <v>1511.7101560893755</v>
      </c>
      <c r="P245" s="46">
        <f>+P244+Per_child_accounting!AN$124</f>
        <v>1663.0835615119811</v>
      </c>
      <c r="Q245" s="46">
        <f>+Q244+Per_child_accounting!AO$124</f>
        <v>1699.1639653528664</v>
      </c>
      <c r="R245" s="113"/>
      <c r="S245" s="113"/>
      <c r="T245" s="113"/>
      <c r="U245" s="113"/>
      <c r="V245" s="113"/>
      <c r="W245" s="113"/>
      <c r="X245" s="113"/>
      <c r="Y245" s="113"/>
      <c r="Z245" s="113"/>
      <c r="AA245" s="113"/>
      <c r="AB245" s="113"/>
      <c r="AC245" s="113"/>
      <c r="AD245" s="113"/>
      <c r="AE245" s="113"/>
      <c r="AF245" s="113"/>
      <c r="AG245" s="113"/>
      <c r="AH245" s="113"/>
      <c r="AI245" s="113"/>
      <c r="AJ245" s="113"/>
      <c r="AK245" s="113"/>
      <c r="AL245" s="113"/>
      <c r="AM245" s="113"/>
      <c r="AN245" s="113"/>
    </row>
    <row r="246" spans="1:40" x14ac:dyDescent="0.2">
      <c r="B246" s="86" t="s">
        <v>1106</v>
      </c>
      <c r="C246" t="str">
        <f t="shared" si="83"/>
        <v>ACT &amp; NT1+6</v>
      </c>
      <c r="D246" s="46">
        <f>+D245+Per_child_accounting!AC$124</f>
        <v>1015.8916861945995</v>
      </c>
      <c r="E246" s="46">
        <f>+E245+Per_child_accounting!AC$124</f>
        <v>1015.8916861945995</v>
      </c>
      <c r="F246" s="46">
        <f>+F245+Per_child_accounting!AD$124</f>
        <v>1015.5900758332946</v>
      </c>
      <c r="G246" s="46">
        <f>+G245+Per_child_accounting!AE$124</f>
        <v>1038.7366377791236</v>
      </c>
      <c r="H246" s="46">
        <f>+H245+Per_child_accounting!AF$124</f>
        <v>1080.8242138008497</v>
      </c>
      <c r="I246" s="46">
        <f>+I245+Per_child_accounting!AG$124</f>
        <v>1138.9484572726005</v>
      </c>
      <c r="J246" s="46">
        <f>+J245+Per_child_accounting!AH$124</f>
        <v>1223.3643507724721</v>
      </c>
      <c r="K246" s="46">
        <f>+K245+Per_child_accounting!AI$124</f>
        <v>1295.0180728944338</v>
      </c>
      <c r="L246" s="46">
        <f>+L245+Per_child_accounting!AJ$124</f>
        <v>1381.1037704577034</v>
      </c>
      <c r="M246" s="46">
        <f>+M245+Per_child_accounting!AK$124</f>
        <v>1426.6804302913597</v>
      </c>
      <c r="N246" s="46">
        <f>+N245+Per_child_accounting!AL$124</f>
        <v>1479.9634225609357</v>
      </c>
      <c r="O246" s="46">
        <f>+O245+Per_child_accounting!AM$124</f>
        <v>1607.2105223392903</v>
      </c>
      <c r="P246" s="46">
        <f>+P245+Per_child_accounting!AN$124</f>
        <v>1757.624939501505</v>
      </c>
      <c r="Q246" s="46">
        <f>+Q245+Per_child_accounting!AO$124</f>
        <v>1793.4767638077828</v>
      </c>
      <c r="R246" s="113"/>
      <c r="S246" s="113"/>
      <c r="T246" s="113"/>
      <c r="U246" s="113"/>
      <c r="V246" s="113"/>
      <c r="W246" s="113"/>
      <c r="X246" s="113"/>
      <c r="Y246" s="113"/>
      <c r="Z246" s="113"/>
      <c r="AA246" s="113"/>
      <c r="AB246" s="113"/>
      <c r="AC246" s="113"/>
      <c r="AD246" s="113"/>
      <c r="AE246" s="113"/>
      <c r="AF246" s="113"/>
      <c r="AG246" s="113"/>
      <c r="AH246" s="113"/>
      <c r="AI246" s="113"/>
      <c r="AJ246" s="113"/>
      <c r="AK246" s="113"/>
      <c r="AL246" s="113"/>
      <c r="AM246" s="113"/>
      <c r="AN246" s="113"/>
    </row>
  </sheetData>
  <sheetProtection algorithmName="SHA-512" hashValue="bZJoE+s4ghMsff5Hv7JGZrQiXFkwLnREwrgXCx6o3+X3m0V0jXK1tSP7NywJ9UpzE3yd0iUp23GVgtLOVys93A==" saltValue="YvPxv6PIPPMqJVJ024K2GA==" spinCount="100000" sheet="1" objects="1" scenarios="1" selectLockedCells="1"/>
  <autoFilter ref="A9:AU243" xr:uid="{00000000-0009-0000-0000-000008000000}"/>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U184"/>
  <sheetViews>
    <sheetView topLeftCell="Y12" workbookViewId="0">
      <selection activeCell="AF22" sqref="AF22"/>
    </sheetView>
  </sheetViews>
  <sheetFormatPr defaultRowHeight="12.75" x14ac:dyDescent="0.2"/>
  <cols>
    <col min="1" max="1" width="25" customWidth="1"/>
    <col min="2" max="2" width="10.28515625" bestFit="1" customWidth="1"/>
    <col min="3" max="3" width="10.5703125" customWidth="1"/>
    <col min="5" max="5" width="35.140625" customWidth="1"/>
    <col min="7" max="7" width="9.85546875" bestFit="1" customWidth="1"/>
    <col min="8" max="8" width="10.140625" customWidth="1"/>
    <col min="9" max="9" width="11.5703125" customWidth="1"/>
    <col min="10" max="10" width="35" customWidth="1"/>
    <col min="11" max="11" width="9.140625" customWidth="1"/>
    <col min="12" max="12" width="4.28515625" customWidth="1"/>
    <col min="15" max="15" width="9.42578125" customWidth="1"/>
    <col min="27" max="27" width="31.85546875" bestFit="1" customWidth="1"/>
    <col min="34" max="41" width="9.5703125" bestFit="1" customWidth="1"/>
    <col min="42" max="43" width="7.140625" customWidth="1"/>
  </cols>
  <sheetData>
    <row r="1" spans="1:43" x14ac:dyDescent="0.2">
      <c r="A1" t="s">
        <v>1107</v>
      </c>
    </row>
    <row r="2" spans="1:43" x14ac:dyDescent="0.2">
      <c r="A2" t="s">
        <v>1108</v>
      </c>
    </row>
    <row r="3" spans="1:43" x14ac:dyDescent="0.2">
      <c r="A3" t="s">
        <v>1109</v>
      </c>
    </row>
    <row r="4" spans="1:43" x14ac:dyDescent="0.2">
      <c r="A4" t="s">
        <v>1110</v>
      </c>
    </row>
    <row r="5" spans="1:43" x14ac:dyDescent="0.2">
      <c r="A5" t="s">
        <v>1111</v>
      </c>
    </row>
    <row r="6" spans="1:43" ht="12.75" customHeight="1" x14ac:dyDescent="0.45">
      <c r="A6" s="67" t="s">
        <v>1181</v>
      </c>
      <c r="AC6" s="368"/>
    </row>
    <row r="7" spans="1:43" ht="28.5" x14ac:dyDescent="0.45">
      <c r="A7" t="s">
        <v>1182</v>
      </c>
      <c r="AC7" s="368" t="s">
        <v>1079</v>
      </c>
    </row>
    <row r="8" spans="1:43" x14ac:dyDescent="0.2">
      <c r="A8" t="s">
        <v>1183</v>
      </c>
      <c r="AE8" s="367" t="s">
        <v>1080</v>
      </c>
    </row>
    <row r="9" spans="1:43" x14ac:dyDescent="0.2">
      <c r="A9" s="375" t="str">
        <f>+DropINTable!A9</f>
        <v>All HEMs are expressed in December 2025 dollars; Data used is the 2015-16 Household Expenditure Survey (HES)</v>
      </c>
      <c r="AG9" s="373" t="s">
        <v>1081</v>
      </c>
    </row>
    <row r="11" spans="1:43" ht="43.5" customHeight="1" x14ac:dyDescent="0.2">
      <c r="AB11" s="588"/>
      <c r="AC11" s="589"/>
      <c r="AD11" s="589"/>
      <c r="AE11" s="590" t="s">
        <v>1082</v>
      </c>
      <c r="AF11" s="589"/>
      <c r="AG11" s="589"/>
      <c r="AH11" s="589"/>
      <c r="AI11" s="589"/>
      <c r="AJ11" s="589"/>
      <c r="AK11" s="589"/>
      <c r="AL11" s="589"/>
      <c r="AM11" s="589"/>
      <c r="AN11" s="589"/>
      <c r="AO11" s="589"/>
    </row>
    <row r="12" spans="1:43" ht="28.5" x14ac:dyDescent="0.45">
      <c r="A12" s="368" t="s">
        <v>1115</v>
      </c>
      <c r="E12" s="368" t="s">
        <v>1116</v>
      </c>
      <c r="N12" s="368" t="s">
        <v>1117</v>
      </c>
      <c r="AB12" s="591">
        <f>+DropINTable!AB11</f>
        <v>27000</v>
      </c>
      <c r="AC12" s="591">
        <f>+DropINTable!AC11</f>
        <v>27000</v>
      </c>
      <c r="AD12" s="591">
        <f>+DropINTable!AD11</f>
        <v>41000</v>
      </c>
      <c r="AE12" s="591">
        <f>+DropINTable!AE11</f>
        <v>54000</v>
      </c>
      <c r="AF12" s="591">
        <f>+DropINTable!AF11</f>
        <v>68000</v>
      </c>
      <c r="AG12" s="591">
        <f>+DropINTable!AG11</f>
        <v>82000</v>
      </c>
      <c r="AH12" s="591">
        <f>+DropINTable!AH11</f>
        <v>109000</v>
      </c>
      <c r="AI12" s="591">
        <f>+DropINTable!AI11</f>
        <v>136000</v>
      </c>
      <c r="AJ12" s="591">
        <f>+DropINTable!AJ11</f>
        <v>163000</v>
      </c>
      <c r="AK12" s="591">
        <f>+DropINTable!AK11</f>
        <v>191000</v>
      </c>
      <c r="AL12" s="591">
        <f>+DropINTable!AL11</f>
        <v>218000</v>
      </c>
      <c r="AM12" s="591">
        <f>+DropINTable!AM11</f>
        <v>272000</v>
      </c>
      <c r="AN12" s="591">
        <f>+DropINTable!AN11</f>
        <v>341000</v>
      </c>
      <c r="AO12" s="591">
        <f>+DropINTable!AO11</f>
        <v>409000</v>
      </c>
    </row>
    <row r="13" spans="1:43" ht="14.25" x14ac:dyDescent="0.2">
      <c r="A13" t="str">
        <f>+DropINTable!A12</f>
        <v>(Poverty Lines: Australia, September Quarter, 2025)</v>
      </c>
      <c r="E13" s="373" t="s">
        <v>1118</v>
      </c>
      <c r="O13" s="367" t="s">
        <v>1080</v>
      </c>
      <c r="AB13" s="591" t="str">
        <f>+DropINTable!AB12</f>
        <v>or less</v>
      </c>
      <c r="AC13" s="591" t="str">
        <f>+DropINTable!AC12</f>
        <v>to</v>
      </c>
      <c r="AD13" s="591" t="str">
        <f>+DropINTable!AD12</f>
        <v>to</v>
      </c>
      <c r="AE13" s="591" t="str">
        <f>+DropINTable!AE12</f>
        <v>to</v>
      </c>
      <c r="AF13" s="591" t="str">
        <f>+DropINTable!AF12</f>
        <v>to</v>
      </c>
      <c r="AG13" s="591" t="str">
        <f>+DropINTable!AG12</f>
        <v>to</v>
      </c>
      <c r="AH13" s="591" t="str">
        <f>+DropINTable!AH12</f>
        <v>to</v>
      </c>
      <c r="AI13" s="591" t="str">
        <f>+DropINTable!AI12</f>
        <v>to</v>
      </c>
      <c r="AJ13" s="591" t="str">
        <f>+DropINTable!AJ12</f>
        <v>to</v>
      </c>
      <c r="AK13" s="591" t="str">
        <f>+DropINTable!AK12</f>
        <v>to</v>
      </c>
      <c r="AL13" s="591" t="str">
        <f>+DropINTable!AL12</f>
        <v>to</v>
      </c>
      <c r="AM13" s="591" t="str">
        <f>+DropINTable!AM12</f>
        <v>to</v>
      </c>
      <c r="AN13" s="591" t="str">
        <f>+DropINTable!AN12</f>
        <v>to</v>
      </c>
      <c r="AO13" s="591" t="str">
        <f>+DropINTable!AO12</f>
        <v>to</v>
      </c>
    </row>
    <row r="14" spans="1:43" ht="14.25" x14ac:dyDescent="0.2">
      <c r="E14" s="373" t="s">
        <v>1081</v>
      </c>
      <c r="Q14" s="373" t="s">
        <v>1184</v>
      </c>
      <c r="AB14" s="591">
        <f>+DropINTable!AB13</f>
        <v>0</v>
      </c>
      <c r="AC14" s="591">
        <f>+DropINTable!AC13</f>
        <v>41000</v>
      </c>
      <c r="AD14" s="591">
        <f>+DropINTable!AD13</f>
        <v>54000</v>
      </c>
      <c r="AE14" s="591">
        <f>+DropINTable!AE13</f>
        <v>68000</v>
      </c>
      <c r="AF14" s="591">
        <f>+DropINTable!AF13</f>
        <v>82000</v>
      </c>
      <c r="AG14" s="591">
        <f>+DropINTable!AG13</f>
        <v>109000</v>
      </c>
      <c r="AH14" s="591">
        <f>+DropINTable!AH13</f>
        <v>136000</v>
      </c>
      <c r="AI14" s="591">
        <f>+DropINTable!AI13</f>
        <v>163000</v>
      </c>
      <c r="AJ14" s="591">
        <f>+DropINTable!AJ13</f>
        <v>191000</v>
      </c>
      <c r="AK14" s="591">
        <f>+DropINTable!AK13</f>
        <v>218000</v>
      </c>
      <c r="AL14" s="591">
        <f>+DropINTable!AL13</f>
        <v>272000</v>
      </c>
      <c r="AM14" s="591">
        <f>+DropINTable!AM13</f>
        <v>341000</v>
      </c>
      <c r="AN14" s="591">
        <f>+DropINTable!AN13</f>
        <v>409000</v>
      </c>
      <c r="AO14" s="591">
        <f>+DropINTable!AO13</f>
        <v>681000</v>
      </c>
    </row>
    <row r="15" spans="1:43" ht="54" customHeight="1" x14ac:dyDescent="0.45">
      <c r="A15" s="371" t="s">
        <v>1121</v>
      </c>
      <c r="B15" s="369" t="s">
        <v>1122</v>
      </c>
      <c r="C15" s="374" t="s">
        <v>1123</v>
      </c>
      <c r="D15" s="369"/>
      <c r="E15" s="371" t="s">
        <v>1124</v>
      </c>
      <c r="F15" s="369" t="s">
        <v>1122</v>
      </c>
      <c r="G15" s="370" t="s">
        <v>1125</v>
      </c>
      <c r="H15" s="370"/>
      <c r="I15" s="370"/>
      <c r="K15" s="426" t="s">
        <v>243</v>
      </c>
      <c r="L15" s="426"/>
      <c r="M15" s="369" t="s">
        <v>231</v>
      </c>
      <c r="N15" s="369" t="s">
        <v>238</v>
      </c>
      <c r="O15" s="369" t="s">
        <v>232</v>
      </c>
      <c r="P15" s="369" t="s">
        <v>239</v>
      </c>
      <c r="Q15" s="369" t="s">
        <v>230</v>
      </c>
      <c r="R15" s="369" t="s">
        <v>237</v>
      </c>
      <c r="S15" s="369" t="s">
        <v>233</v>
      </c>
      <c r="T15" s="369" t="s">
        <v>240</v>
      </c>
      <c r="U15" s="369" t="s">
        <v>234</v>
      </c>
      <c r="V15" s="369" t="s">
        <v>242</v>
      </c>
      <c r="W15" s="369" t="s">
        <v>235</v>
      </c>
      <c r="X15" s="369" t="s">
        <v>241</v>
      </c>
      <c r="Y15" s="369" t="s">
        <v>1126</v>
      </c>
      <c r="Z15" s="369"/>
      <c r="AA15" s="368" t="s">
        <v>243</v>
      </c>
      <c r="AB15" s="131"/>
      <c r="AC15" s="68"/>
      <c r="AD15" s="68"/>
      <c r="AE15" s="68"/>
      <c r="AF15" s="68"/>
      <c r="AG15" s="68"/>
      <c r="AH15" s="68"/>
      <c r="AI15" s="68"/>
      <c r="AJ15" s="68"/>
      <c r="AK15" s="68"/>
      <c r="AL15" s="68"/>
      <c r="AM15" s="68"/>
      <c r="AN15" s="68"/>
      <c r="AO15" s="68"/>
    </row>
    <row r="16" spans="1:43" ht="14.25" x14ac:dyDescent="0.2">
      <c r="A16" t="s">
        <v>1085</v>
      </c>
      <c r="B16" s="46">
        <f>+DropINTable!B15</f>
        <v>937.59</v>
      </c>
      <c r="C16" s="46">
        <f>+DropINTable!C15</f>
        <v>685.75</v>
      </c>
      <c r="D16" s="372"/>
      <c r="E16" t="s">
        <v>1085</v>
      </c>
      <c r="F16" s="47" t="str">
        <f>+DropINTable!F15</f>
        <v>-</v>
      </c>
      <c r="G16" s="47">
        <f>+DropINTable!G15</f>
        <v>822.34564208984375</v>
      </c>
      <c r="H16" s="47"/>
      <c r="I16" s="47"/>
      <c r="J16" t="s">
        <v>1085</v>
      </c>
      <c r="K16" s="46">
        <f>+DropINTable!K15</f>
        <v>835.61155093561808</v>
      </c>
      <c r="L16" s="46"/>
      <c r="M16" s="46">
        <f>+DropINTable!M15</f>
        <v>828.50539720220922</v>
      </c>
      <c r="N16" s="46">
        <f>+DropINTable!N15</f>
        <v>848.79517693155765</v>
      </c>
      <c r="O16" s="46">
        <f>+DropINTable!O15</f>
        <v>835.94907126653504</v>
      </c>
      <c r="P16" s="46">
        <f>+DropINTable!P15</f>
        <v>876.46046773363685</v>
      </c>
      <c r="Q16" s="46">
        <f>+DropINTable!Q15</f>
        <v>812.25801491502864</v>
      </c>
      <c r="R16" s="46">
        <f>+DropINTable!R15</f>
        <v>878.66401398098742</v>
      </c>
      <c r="S16" s="46">
        <f>+DropINTable!S15</f>
        <v>856.77431163088613</v>
      </c>
      <c r="T16" s="46">
        <f>+DropINTable!T15</f>
        <v>806.21142310440166</v>
      </c>
      <c r="U16" s="46">
        <f>+DropINTable!U15</f>
        <v>782.62909523254768</v>
      </c>
      <c r="V16" s="46">
        <f>+DropINTable!V15</f>
        <v>835.88266772426994</v>
      </c>
      <c r="W16" s="46">
        <f>+DropINTable!W15</f>
        <v>857.84244845000478</v>
      </c>
      <c r="X16" s="46">
        <f>+DropINTable!X15</f>
        <v>851.22334096816792</v>
      </c>
      <c r="Y16" s="46">
        <f>+DropINTable!Y15</f>
        <v>865.7894676867918</v>
      </c>
      <c r="Z16" s="46"/>
      <c r="AA16" t="s">
        <v>1085</v>
      </c>
      <c r="AB16" s="46">
        <f>+DropINTable!AB15</f>
        <v>0</v>
      </c>
      <c r="AC16" s="46">
        <f>+DropINTable!AC15</f>
        <v>623.39132412634933</v>
      </c>
      <c r="AD16" s="46">
        <f>+DropINTable!AD15</f>
        <v>639.69642810008213</v>
      </c>
      <c r="AE16" s="46">
        <f>+DropINTable!AE15</f>
        <v>663.63034313580499</v>
      </c>
      <c r="AF16" s="46">
        <f>+DropINTable!AF15</f>
        <v>707.14957645287461</v>
      </c>
      <c r="AG16" s="46">
        <f>+DropINTable!AG15</f>
        <v>767.25098560479501</v>
      </c>
      <c r="AH16" s="46">
        <f>+DropINTable!AH15</f>
        <v>854.53837407574485</v>
      </c>
      <c r="AI16" s="46">
        <f>+DropINTable!AI15</f>
        <v>928.62948251094986</v>
      </c>
      <c r="AJ16" s="46">
        <f>+DropINTable!AJ15</f>
        <v>1017.6434839161407</v>
      </c>
      <c r="AK16" s="46">
        <f>+DropINTable!AK15</f>
        <v>1064.7704831526985</v>
      </c>
      <c r="AL16" s="46">
        <f>+DropINTable!AL15</f>
        <v>1119.8659485400419</v>
      </c>
      <c r="AM16" s="46">
        <f>+DropINTable!AM15</f>
        <v>1251.4415163417841</v>
      </c>
      <c r="AN16" s="46">
        <f>+DropINTable!AN15</f>
        <v>1406.9724497040506</v>
      </c>
      <c r="AO16" s="46">
        <f>+DropINTable!AO15</f>
        <v>1444.0438104934062</v>
      </c>
      <c r="AP16" s="46"/>
      <c r="AQ16" s="46"/>
    </row>
    <row r="17" spans="1:43" ht="14.25" x14ac:dyDescent="0.2">
      <c r="A17" t="s">
        <v>1087</v>
      </c>
      <c r="B17" s="46">
        <f>+DropINTable!B16</f>
        <v>1127.03</v>
      </c>
      <c r="C17" s="46">
        <f>+DropINTable!C16</f>
        <v>852.41</v>
      </c>
      <c r="D17" s="372"/>
      <c r="E17" t="s">
        <v>1185</v>
      </c>
      <c r="F17" s="47" t="str">
        <f>+DropINTable!F16</f>
        <v>-</v>
      </c>
      <c r="G17" s="47">
        <f>+DropINTable!G16-DropINTable!G15</f>
        <v>243.60736083984375</v>
      </c>
      <c r="H17" s="47"/>
      <c r="I17" s="47"/>
      <c r="J17" t="s">
        <v>1185</v>
      </c>
      <c r="K17" s="46">
        <f>+DropINTable!K16-DropINTable!K15</f>
        <v>248.19480160271621</v>
      </c>
      <c r="L17" s="46"/>
      <c r="M17" s="46">
        <f>+DropINTable!M16-DropINTable!M15</f>
        <v>246.76567519101536</v>
      </c>
      <c r="N17" s="46">
        <f>+DropINTable!N16-DropINTable!N15</f>
        <v>246.7464213506961</v>
      </c>
      <c r="O17" s="46">
        <f>+DropINTable!O16-DropINTable!O15</f>
        <v>246.758611222387</v>
      </c>
      <c r="P17" s="46">
        <f>+DropINTable!P16-DropINTable!P15</f>
        <v>246.72016781096579</v>
      </c>
      <c r="Q17" s="46">
        <f>+DropINTable!Q16-DropINTable!Q15</f>
        <v>246.78109239093703</v>
      </c>
      <c r="R17" s="46">
        <f>+DropINTable!R16-DropINTable!R15</f>
        <v>246.7180771242115</v>
      </c>
      <c r="S17" s="46">
        <f>+DropINTable!S16-DropINTable!S15</f>
        <v>246.73884914915311</v>
      </c>
      <c r="T17" s="46">
        <f>+DropINTable!T16-DropINTable!T15</f>
        <v>246.7868298115967</v>
      </c>
      <c r="U17" s="46">
        <f>+DropINTable!U16-DropINTable!U15</f>
        <v>246.80920878229665</v>
      </c>
      <c r="V17" s="46">
        <f>+DropINTable!V16-DropINTable!V15</f>
        <v>246.75867461085352</v>
      </c>
      <c r="W17" s="46">
        <f>+DropINTable!W16-DropINTable!W15</f>
        <v>246.73783516682795</v>
      </c>
      <c r="X17" s="46">
        <f>+DropINTable!X16-DropINTable!X15</f>
        <v>246.74411830394422</v>
      </c>
      <c r="Y17" s="46">
        <f>+DropINTable!Y16-DropINTable!Y15</f>
        <v>246.73029465813647</v>
      </c>
      <c r="Z17" s="46"/>
      <c r="AA17" t="s">
        <v>1185</v>
      </c>
      <c r="AB17" s="46">
        <f>IF(DropINTable!AB16-DropINTable!AB15&lt;0,0,+DropINTable!AB16-DropINTable!AB15)</f>
        <v>0</v>
      </c>
      <c r="AC17" s="46">
        <f>IF(DropINTable!AC16-DropINTable!AC15&lt;0,0,+DropINTable!AC16-DropINTable!AC15)</f>
        <v>0</v>
      </c>
      <c r="AD17" s="46">
        <f>IF(DropINTable!AD16-DropINTable!AD15&lt;0,0,+DropINTable!AD16-DropINTable!AD15)</f>
        <v>96.104812723376313</v>
      </c>
      <c r="AE17" s="46">
        <f>IF(DropINTable!AE16-DropINTable!AE15&lt;0,0,+DropINTable!AE16-DropINTable!AE15)</f>
        <v>96.082099651632348</v>
      </c>
      <c r="AF17" s="46">
        <f>IF(DropINTable!AF16-DropINTable!AF15&lt;0,0,+DropINTable!AF16-DropINTable!AF15)</f>
        <v>96.040801898757877</v>
      </c>
      <c r="AG17" s="46">
        <f>IF(DropINTable!AG16-DropINTable!AG15&lt;0,0,+DropINTable!AG16-DropINTable!AG15)</f>
        <v>95.98377127868207</v>
      </c>
      <c r="AH17" s="46">
        <f>IF(DropINTable!AH16-DropINTable!AH15&lt;0,0,+DropINTable!AH16-DropINTable!AH15)</f>
        <v>95.900939640581555</v>
      </c>
      <c r="AI17" s="46">
        <f>IF(DropINTable!AI16-DropINTable!AI15&lt;0,0,+DropINTable!AI16-DropINTable!AI15)</f>
        <v>95.830631754416572</v>
      </c>
      <c r="AJ17" s="46">
        <f>IF(DropINTable!AJ16-DropINTable!AJ15&lt;0,0,+DropINTable!AJ16-DropINTable!AJ15)</f>
        <v>95.746160434867534</v>
      </c>
      <c r="AK17" s="46">
        <f>IF(DropINTable!AK16-DropINTable!AK15&lt;0,0,+DropINTable!AK16-DropINTable!AK15)</f>
        <v>95.701443035580951</v>
      </c>
      <c r="AL17" s="46">
        <f>IF(DropINTable!AL16-DropINTable!AL15&lt;0,0,+DropINTable!AL16-DropINTable!AL15)</f>
        <v>95.649159147443243</v>
      </c>
      <c r="AM17" s="46">
        <f>IF(DropINTable!AM16-DropINTable!AM15&lt;0,0,+DropINTable!AM16-DropINTable!AM15)</f>
        <v>95.524301420807888</v>
      </c>
      <c r="AN17" s="46">
        <f>IF(DropINTable!AN16-DropINTable!AN15&lt;0,0,+DropINTable!AN16-DropINTable!AN15)</f>
        <v>95.376712059817237</v>
      </c>
      <c r="AO17" s="46">
        <f>IF(DropINTable!AO16-DropINTable!AO15&lt;0,0,+DropINTable!AO16-DropINTable!AO15)</f>
        <v>95.341532604707027</v>
      </c>
      <c r="AP17" s="46"/>
      <c r="AQ17" s="46"/>
    </row>
    <row r="18" spans="1:43" ht="14.25" x14ac:dyDescent="0.2">
      <c r="A18" t="s">
        <v>1089</v>
      </c>
      <c r="B18" s="46">
        <f>+DropINTable!B17</f>
        <v>1316.47</v>
      </c>
      <c r="C18" s="46">
        <f>+DropINTable!C17</f>
        <v>1019.08</v>
      </c>
      <c r="D18" s="372"/>
      <c r="F18" s="47"/>
      <c r="G18" s="47"/>
      <c r="H18" s="47"/>
      <c r="I18" s="47"/>
      <c r="K18" s="46"/>
      <c r="L18" s="46"/>
      <c r="M18" s="46"/>
      <c r="N18" s="46"/>
      <c r="O18" s="46"/>
      <c r="P18" s="46"/>
      <c r="Q18" s="46"/>
      <c r="R18" s="46"/>
      <c r="S18" s="46"/>
      <c r="T18" s="46"/>
      <c r="U18" s="46"/>
      <c r="V18" s="46"/>
      <c r="W18" s="46"/>
      <c r="X18" s="46"/>
      <c r="Y18" s="46"/>
      <c r="Z18" s="46"/>
      <c r="AB18" s="46"/>
      <c r="AC18" s="46"/>
      <c r="AD18" s="46"/>
      <c r="AE18" s="46"/>
      <c r="AF18" s="46"/>
      <c r="AG18" s="46"/>
      <c r="AH18" s="46"/>
      <c r="AI18" s="46"/>
      <c r="AJ18" s="46"/>
      <c r="AK18" s="46"/>
      <c r="AL18" s="46"/>
      <c r="AM18" s="46"/>
      <c r="AN18" s="46"/>
      <c r="AO18" s="46"/>
      <c r="AP18" s="46"/>
      <c r="AQ18" s="46"/>
    </row>
    <row r="19" spans="1:43" ht="14.25" x14ac:dyDescent="0.2">
      <c r="A19" t="s">
        <v>1128</v>
      </c>
      <c r="B19" s="46">
        <f>+DropINTable!B18</f>
        <v>1505.91</v>
      </c>
      <c r="C19" s="46">
        <f>+DropINTable!C18</f>
        <v>1185.74</v>
      </c>
      <c r="D19" s="372"/>
      <c r="E19" t="s">
        <v>1096</v>
      </c>
      <c r="F19" s="47" t="str">
        <f>+DropINTable!F20</f>
        <v>-</v>
      </c>
      <c r="G19" s="47">
        <f>+DropINTable!G20</f>
        <v>385.15265655517578</v>
      </c>
      <c r="H19" s="47"/>
      <c r="I19" s="47"/>
      <c r="J19" t="s">
        <v>1096</v>
      </c>
      <c r="K19" s="46">
        <f>+DropINTable!K20</f>
        <v>406.13718918922996</v>
      </c>
      <c r="L19" s="46"/>
      <c r="M19" s="46">
        <f>+DropINTable!M20</f>
        <v>398.89781365452711</v>
      </c>
      <c r="N19" s="46">
        <f>+DropINTable!N20</f>
        <v>418.9925003660116</v>
      </c>
      <c r="O19" s="46">
        <f>+DropINTable!O20</f>
        <v>406.26991482311576</v>
      </c>
      <c r="P19" s="46">
        <f>+DropINTable!P20</f>
        <v>446.39177944477285</v>
      </c>
      <c r="Q19" s="46">
        <f>+DropINTable!Q20</f>
        <v>382.80665593514942</v>
      </c>
      <c r="R19" s="46">
        <f>+DropINTable!R20</f>
        <v>448.57413786058737</v>
      </c>
      <c r="S19" s="46">
        <f>+DropINTable!S20</f>
        <v>426.89491310882329</v>
      </c>
      <c r="T19" s="46">
        <f>+DropINTable!T20</f>
        <v>376.81820403750157</v>
      </c>
      <c r="U19" s="46">
        <f>+DropINTable!U20</f>
        <v>353.46262822614676</v>
      </c>
      <c r="V19" s="46">
        <f>+DropINTable!V20</f>
        <v>406.20414936817104</v>
      </c>
      <c r="W19" s="46">
        <f>+DropINTable!W20</f>
        <v>427.95277956888197</v>
      </c>
      <c r="X19" s="46">
        <f>+DropINTable!X20</f>
        <v>421.39731709267755</v>
      </c>
      <c r="Y19" s="46">
        <f>+DropINTable!Y20</f>
        <v>435.82338558623616</v>
      </c>
      <c r="Z19" s="46"/>
      <c r="AA19" t="s">
        <v>1096</v>
      </c>
      <c r="AB19" s="46">
        <f>+DropINTable!AB20</f>
        <v>319.95367492125018</v>
      </c>
      <c r="AC19" s="46">
        <f>+DropINTable!AC20</f>
        <v>337.09493014794083</v>
      </c>
      <c r="AD19" s="46">
        <f>+DropINTable!AD20</f>
        <v>353.24325491838357</v>
      </c>
      <c r="AE19" s="46">
        <f>+DropINTable!AE20</f>
        <v>376.94703715326239</v>
      </c>
      <c r="AF19" s="46">
        <f>+DropINTable!AF20</f>
        <v>420.047817780755</v>
      </c>
      <c r="AG19" s="46">
        <f>+DropINTable!AG20</f>
        <v>479.57133183916068</v>
      </c>
      <c r="AH19" s="46">
        <f>+DropINTable!AH20</f>
        <v>566.01942198658423</v>
      </c>
      <c r="AI19" s="46">
        <f>+DropINTable!AI20</f>
        <v>639.39811921506805</v>
      </c>
      <c r="AJ19" s="46">
        <f>+DropINTable!AJ20</f>
        <v>727.55621934749888</v>
      </c>
      <c r="AK19" s="46">
        <f>+DropINTable!AK20</f>
        <v>774.23007760877567</v>
      </c>
      <c r="AL19" s="46">
        <f>+DropINTable!AL20</f>
        <v>828.79578083929698</v>
      </c>
      <c r="AM19" s="46">
        <f>+DropINTable!AM20</f>
        <v>959.10620498547155</v>
      </c>
      <c r="AN19" s="46">
        <f>+DropINTable!AN20</f>
        <v>1113.1416546540993</v>
      </c>
      <c r="AO19" s="46">
        <f>+DropINTable!AO20</f>
        <v>1149.8565606040008</v>
      </c>
      <c r="AP19" s="46"/>
      <c r="AQ19" s="46"/>
    </row>
    <row r="20" spans="1:43" ht="14.25" x14ac:dyDescent="0.2">
      <c r="A20" t="s">
        <v>1129</v>
      </c>
      <c r="B20" s="46">
        <f>+DropINTable!B19</f>
        <v>1695.35</v>
      </c>
      <c r="C20" s="46">
        <f>+DropINTable!C19</f>
        <v>1350.56</v>
      </c>
      <c r="D20" s="372"/>
      <c r="E20" t="s">
        <v>1185</v>
      </c>
      <c r="F20" s="47" t="str">
        <f>+DropINTable!F21</f>
        <v>-</v>
      </c>
      <c r="G20" s="47">
        <f>+DropINTable!G21-DropINTable!G20</f>
        <v>140.33512115478516</v>
      </c>
      <c r="H20" s="47"/>
      <c r="I20" s="48"/>
      <c r="J20" t="s">
        <v>1185</v>
      </c>
      <c r="K20" s="46">
        <f>+DropINTable!K21-DropINTable!K20</f>
        <v>141.09006427918473</v>
      </c>
      <c r="L20" s="46"/>
      <c r="M20" s="46">
        <f>+DropINTable!M21-DropINTable!M20</f>
        <v>139.17540542818483</v>
      </c>
      <c r="N20" s="46">
        <f>+DropINTable!N21-DropINTable!N20</f>
        <v>139.05030011992318</v>
      </c>
      <c r="O20" s="46">
        <f>+DropINTable!O21-DropINTable!O20</f>
        <v>139.12950709481549</v>
      </c>
      <c r="P20" s="46">
        <f>+DropINTable!P21-DropINTable!P20</f>
        <v>138.8797199913281</v>
      </c>
      <c r="Q20" s="46">
        <f>+DropINTable!Q21-DropINTable!Q20</f>
        <v>139.2755827220081</v>
      </c>
      <c r="R20" s="46">
        <f>+DropINTable!R21-DropINTable!R20</f>
        <v>138.86613213081569</v>
      </c>
      <c r="S20" s="46">
        <f>+DropINTable!S21-DropINTable!S20</f>
        <v>139.00110086082441</v>
      </c>
      <c r="T20" s="46">
        <f>+DropINTable!T21-DropINTable!T20</f>
        <v>139.31286656601753</v>
      </c>
      <c r="U20" s="46">
        <f>+DropINTable!U21-DropINTable!U20</f>
        <v>139.45827373532563</v>
      </c>
      <c r="V20" s="46">
        <f>+DropINTable!V21-DropINTable!V20</f>
        <v>139.12991611776698</v>
      </c>
      <c r="W20" s="46">
        <f>+DropINTable!W21-DropINTable!W20</f>
        <v>138.99451391145192</v>
      </c>
      <c r="X20" s="46">
        <f>+DropINTable!X21-DropINTable!X20</f>
        <v>139.03532725184027</v>
      </c>
      <c r="Y20" s="46">
        <f>+DropINTable!Y21-DropINTable!Y20</f>
        <v>138.9455135526544</v>
      </c>
      <c r="Z20" s="46"/>
      <c r="AA20" t="s">
        <v>1185</v>
      </c>
      <c r="AB20" s="46">
        <f>IF(DropINTable!AB21-DropINTable!AB20&lt;0,0,+DropINTable!AB21-DropINTable!AB20)</f>
        <v>0</v>
      </c>
      <c r="AC20" s="46">
        <f>IF(DropINTable!AC21-DropINTable!AC20&lt;0,0,+DropINTable!AC21-DropINTable!AC20)</f>
        <v>101.5174098191431</v>
      </c>
      <c r="AD20" s="46">
        <f>IF(DropINTable!AD21-DropINTable!AD20&lt;0,0,+DropINTable!AD21-DropINTable!AD20)</f>
        <v>101.41687363855681</v>
      </c>
      <c r="AE20" s="46">
        <f>IF(DropINTable!AE21-DropINTable!AE20&lt;0,0,+DropINTable!AE21-DropINTable!AE20)</f>
        <v>101.26930164915115</v>
      </c>
      <c r="AF20" s="46">
        <f>IF(DropINTable!AF21-DropINTable!AF20&lt;0,0,+DropINTable!AF21-DropINTable!AF20)</f>
        <v>101.00096563007281</v>
      </c>
      <c r="AG20" s="46">
        <f>IF(DropINTable!AG21-DropINTable!AG20&lt;0,0,+DropINTable!AG21-DropINTable!AG20)</f>
        <v>100.63038423841562</v>
      </c>
      <c r="AH20" s="46">
        <f>IF(DropINTable!AH21-DropINTable!AH20&lt;0,0,+DropINTable!AH21-DropINTable!AH20)</f>
        <v>100.09218119617935</v>
      </c>
      <c r="AI20" s="46">
        <f>IF(DropINTable!AI21-DropINTable!AI20&lt;0,0,+DropINTable!AI21-DropINTable!AI20)</f>
        <v>99.635340933470047</v>
      </c>
      <c r="AJ20" s="46">
        <f>IF(DropINTable!AJ21-DropINTable!AJ20&lt;0,0,+DropINTable!AJ21-DropINTable!AJ20)</f>
        <v>99.08649286174159</v>
      </c>
      <c r="AK20" s="46">
        <f>IF(DropINTable!AK21-DropINTable!AK20&lt;0,0,+DropINTable!AK21-DropINTable!AK20)</f>
        <v>98.795910578306007</v>
      </c>
      <c r="AL20" s="46">
        <f>IF(DropINTable!AL21-DropINTable!AL20&lt;0,0,+DropINTable!AL21-DropINTable!AL20)</f>
        <v>98.45619572869191</v>
      </c>
      <c r="AM20" s="46">
        <f>IF(DropINTable!AM21-DropINTable!AM20&lt;0,0,+DropINTable!AM21-DropINTable!AM20)</f>
        <v>97.644915131018251</v>
      </c>
      <c r="AN20" s="46">
        <f>IF(DropINTable!AN21-DropINTable!AN20&lt;0,0,+DropINTable!AN21-DropINTable!AN20)</f>
        <v>96.685929853215839</v>
      </c>
      <c r="AO20" s="46">
        <f>IF(DropINTable!AO21-DropINTable!AO20&lt;0,0,+DropINTable!AO21-DropINTable!AO20)</f>
        <v>96.457349833557373</v>
      </c>
      <c r="AP20" s="46"/>
      <c r="AQ20" s="46"/>
    </row>
    <row r="21" spans="1:43" x14ac:dyDescent="0.2">
      <c r="A21" t="s">
        <v>1096</v>
      </c>
      <c r="B21" s="46">
        <f>+DropINTable!B20</f>
        <v>700.89</v>
      </c>
      <c r="C21" s="46">
        <f>+DropINTable!C20</f>
        <v>471.69</v>
      </c>
      <c r="D21" s="372"/>
      <c r="AP21" s="46"/>
      <c r="AQ21" s="46"/>
    </row>
    <row r="22" spans="1:43" x14ac:dyDescent="0.2">
      <c r="A22" t="s">
        <v>1098</v>
      </c>
      <c r="B22" s="46">
        <f>+DropINTable!B21</f>
        <v>899.81</v>
      </c>
      <c r="C22" s="46">
        <f>+DropINTable!C21</f>
        <v>647.83000000000004</v>
      </c>
      <c r="D22" s="372"/>
      <c r="AP22" s="46"/>
      <c r="AQ22" s="46"/>
    </row>
    <row r="23" spans="1:43" ht="28.5" x14ac:dyDescent="0.45">
      <c r="A23" t="s">
        <v>1100</v>
      </c>
      <c r="B23" s="46">
        <f>+DropINTable!B22</f>
        <v>1089.1099999999999</v>
      </c>
      <c r="C23" s="46">
        <f>+DropINTable!C22</f>
        <v>814.5</v>
      </c>
      <c r="D23" s="372"/>
      <c r="H23" s="47"/>
      <c r="I23" s="47"/>
      <c r="K23" s="46"/>
      <c r="L23" s="46"/>
      <c r="M23" s="46"/>
      <c r="N23" s="46"/>
      <c r="O23" s="46"/>
      <c r="P23" s="46"/>
      <c r="Q23" s="46"/>
      <c r="R23" s="46"/>
      <c r="S23" s="46"/>
      <c r="T23" s="46"/>
      <c r="U23" s="46"/>
      <c r="V23" s="46"/>
      <c r="W23" s="46"/>
      <c r="X23" s="46"/>
      <c r="Y23" s="46"/>
      <c r="Z23" s="46"/>
      <c r="AA23" s="368" t="s">
        <v>231</v>
      </c>
      <c r="AP23" s="46"/>
      <c r="AQ23" s="46"/>
    </row>
    <row r="24" spans="1:43" ht="14.25" x14ac:dyDescent="0.2">
      <c r="A24" t="s">
        <v>1130</v>
      </c>
      <c r="B24" s="46">
        <f>+DropINTable!B23</f>
        <v>1278.55</v>
      </c>
      <c r="C24" s="46">
        <f>+DropINTable!C23</f>
        <v>981.16</v>
      </c>
      <c r="D24" s="372"/>
      <c r="H24" s="47"/>
      <c r="I24" s="47"/>
      <c r="K24" s="46"/>
      <c r="L24" s="46"/>
      <c r="M24" s="46"/>
      <c r="N24" s="46"/>
      <c r="O24" s="46"/>
      <c r="P24" s="46"/>
      <c r="Q24" s="46"/>
      <c r="R24" s="46"/>
      <c r="S24" s="46"/>
      <c r="T24" s="46"/>
      <c r="U24" s="46"/>
      <c r="V24" s="46"/>
      <c r="W24" s="46"/>
      <c r="X24" s="46"/>
      <c r="Y24" s="46"/>
      <c r="Z24" s="46"/>
      <c r="AA24" t="s">
        <v>1085</v>
      </c>
      <c r="AB24" s="46">
        <f>+DropINTable!AB27</f>
        <v>0</v>
      </c>
      <c r="AC24" s="46">
        <f>+DropINTable!AC27</f>
        <v>616.28517039522762</v>
      </c>
      <c r="AD24" s="46">
        <f>+DropINTable!AD27</f>
        <v>632.59027464038058</v>
      </c>
      <c r="AE24" s="46">
        <f>+DropINTable!AE27</f>
        <v>656.52418926287396</v>
      </c>
      <c r="AF24" s="46">
        <f>+DropINTable!AF27</f>
        <v>700.04342220788442</v>
      </c>
      <c r="AG24" s="46">
        <f>+DropINTable!AG27</f>
        <v>760.14483222133526</v>
      </c>
      <c r="AH24" s="46">
        <f>+DropINTable!AH27</f>
        <v>847.43222177491623</v>
      </c>
      <c r="AI24" s="46">
        <f>+DropINTable!AI27</f>
        <v>921.52332917628451</v>
      </c>
      <c r="AJ24" s="46">
        <f>+DropINTable!AJ27</f>
        <v>1010.5373299776417</v>
      </c>
      <c r="AK24" s="46">
        <f>+DropINTable!AK27</f>
        <v>1057.6643298851261</v>
      </c>
      <c r="AL24" s="46">
        <f>+DropINTable!AL27</f>
        <v>1112.7597955713366</v>
      </c>
      <c r="AM24" s="46">
        <f>+DropINTable!AM27</f>
        <v>1244.3353638427268</v>
      </c>
      <c r="AN24" s="46">
        <f>+DropINTable!AN27</f>
        <v>1399.8662978149264</v>
      </c>
      <c r="AO24" s="46">
        <f>+DropINTable!AO27</f>
        <v>1436.9376569574633</v>
      </c>
      <c r="AP24" s="46"/>
      <c r="AQ24" s="46"/>
    </row>
    <row r="25" spans="1:43" x14ac:dyDescent="0.2">
      <c r="A25" t="s">
        <v>1131</v>
      </c>
      <c r="B25" s="46">
        <f>+DropINTable!B24</f>
        <v>1467.99</v>
      </c>
      <c r="C25" s="46">
        <f>+DropINTable!C24</f>
        <v>1147.83</v>
      </c>
      <c r="D25" s="372"/>
      <c r="AA25" t="s">
        <v>1185</v>
      </c>
      <c r="AB25" s="46">
        <f>IF(DropINTable!AB28-DropINTable!AB27&lt;0,0,+DropINTable!AB28-DropINTable!AB27)</f>
        <v>0</v>
      </c>
      <c r="AC25" s="46">
        <f>IF(DropINTable!AC28-DropINTable!AC27&lt;0,0,+DropINTable!AC28-DropINTable!AC27)</f>
        <v>0</v>
      </c>
      <c r="AD25" s="46">
        <f>IF(DropINTable!AD28-DropINTable!AD27&lt;0,0,+DropINTable!AD28-DropINTable!AD27)</f>
        <v>94.675684085335661</v>
      </c>
      <c r="AE25" s="46">
        <f>IF(DropINTable!AE28-DropINTable!AE27&lt;0,0,+DropINTable!AE28-DropINTable!AE27)</f>
        <v>94.652973379453556</v>
      </c>
      <c r="AF25" s="46">
        <f>IF(DropINTable!AF28-DropINTable!AF27&lt;0,0,+DropINTable!AF28-DropINTable!AF27)</f>
        <v>94.611675296568251</v>
      </c>
      <c r="AG25" s="46">
        <f>IF(DropINTable!AG28-DropINTable!AG27&lt;0,0,+DropINTable!AG28-DropINTable!AG27)</f>
        <v>94.554642849615561</v>
      </c>
      <c r="AH25" s="46">
        <f>IF(DropINTable!AH28-DropINTable!AH27&lt;0,0,+DropINTable!AH28-DropINTable!AH27)</f>
        <v>94.471809514572669</v>
      </c>
      <c r="AI25" s="46">
        <f>IF(DropINTable!AI28-DropINTable!AI27&lt;0,0,+DropINTable!AI28-DropINTable!AI27)</f>
        <v>94.401503247302571</v>
      </c>
      <c r="AJ25" s="46">
        <f>IF(DropINTable!AJ28-DropINTable!AJ27&lt;0,0,+DropINTable!AJ28-DropINTable!AJ27)</f>
        <v>94.317033028887067</v>
      </c>
      <c r="AK25" s="46">
        <f>IF(DropINTable!AK28-DropINTable!AK27&lt;0,0,+DropINTable!AK28-DropINTable!AK27)</f>
        <v>94.272313349763408</v>
      </c>
      <c r="AL25" s="46">
        <f>IF(DropINTable!AL28-DropINTable!AL27&lt;0,0,+DropINTable!AL28-DropINTable!AL27)</f>
        <v>94.220030830175119</v>
      </c>
      <c r="AM25" s="46">
        <f>IF(DropINTable!AM28-DropINTable!AM27&lt;0,0,+DropINTable!AM28-DropINTable!AM27)</f>
        <v>94.095172458374464</v>
      </c>
      <c r="AN25" s="46">
        <f>IF(DropINTable!AN28-DropINTable!AN27&lt;0,0,+DropINTable!AN28-DropINTable!AN27)</f>
        <v>93.947581141815817</v>
      </c>
      <c r="AO25" s="46">
        <f>IF(DropINTable!AO28-DropINTable!AO27&lt;0,0,+DropINTable!AO28-DropINTable!AO27)</f>
        <v>93.912406200310897</v>
      </c>
      <c r="AP25" s="46"/>
      <c r="AQ25" s="46"/>
    </row>
    <row r="26" spans="1:43" x14ac:dyDescent="0.2">
      <c r="B26" s="46"/>
      <c r="C26" s="46"/>
      <c r="D26" s="372"/>
      <c r="AB26" s="46"/>
      <c r="AC26" s="46"/>
      <c r="AD26" s="46"/>
      <c r="AE26" s="46"/>
      <c r="AF26" s="46"/>
      <c r="AG26" s="46"/>
      <c r="AH26" s="46"/>
      <c r="AI26" s="46"/>
      <c r="AJ26" s="46"/>
      <c r="AK26" s="46"/>
      <c r="AL26" s="46"/>
      <c r="AM26" s="46"/>
      <c r="AN26" s="46"/>
      <c r="AO26" s="46"/>
      <c r="AP26" s="46"/>
      <c r="AQ26" s="46"/>
    </row>
    <row r="27" spans="1:43" ht="15" x14ac:dyDescent="0.25">
      <c r="A27" s="371" t="s">
        <v>1132</v>
      </c>
      <c r="B27" s="46"/>
      <c r="C27" s="46"/>
      <c r="F27" s="369"/>
      <c r="H27" s="369"/>
      <c r="J27" s="371"/>
      <c r="AA27" t="s">
        <v>1096</v>
      </c>
      <c r="AB27" s="46">
        <f>+DropINTable!AB32</f>
        <v>312.71429925986797</v>
      </c>
      <c r="AC27" s="46">
        <f>+DropINTable!AC32</f>
        <v>329.85555488004417</v>
      </c>
      <c r="AD27" s="46">
        <f>+DropINTable!AD32</f>
        <v>346.00387906194021</v>
      </c>
      <c r="AE27" s="46">
        <f>+DropINTable!AE32</f>
        <v>369.70766205063813</v>
      </c>
      <c r="AF27" s="46">
        <f>+DropINTable!AF32</f>
        <v>412.80844234326213</v>
      </c>
      <c r="AG27" s="46">
        <f>+DropINTable!AG32</f>
        <v>472.33195620578942</v>
      </c>
      <c r="AH27" s="46">
        <f>+DropINTable!AH32</f>
        <v>558.7800468116518</v>
      </c>
      <c r="AI27" s="46">
        <f>+DropINTable!AI32</f>
        <v>632.15874383675543</v>
      </c>
      <c r="AJ27" s="46">
        <f>+DropINTable!AJ32</f>
        <v>720.3168437591379</v>
      </c>
      <c r="AK27" s="46">
        <f>+DropINTable!AK32</f>
        <v>766.9907015336363</v>
      </c>
      <c r="AL27" s="46">
        <f>+DropINTable!AL32</f>
        <v>821.55640516424944</v>
      </c>
      <c r="AM27" s="46">
        <f>+DropINTable!AM32</f>
        <v>951.8668285835904</v>
      </c>
      <c r="AN27" s="46">
        <f>+DropINTable!AN32</f>
        <v>1105.9022792391113</v>
      </c>
      <c r="AO27" s="46">
        <f>+DropINTable!AO32</f>
        <v>1142.6171860158697</v>
      </c>
      <c r="AP27" s="46"/>
      <c r="AQ27" s="46"/>
    </row>
    <row r="28" spans="1:43" ht="14.25" x14ac:dyDescent="0.2">
      <c r="A28" t="s">
        <v>1085</v>
      </c>
      <c r="B28" s="46">
        <f>+DropINTable!B27</f>
        <v>805.02</v>
      </c>
      <c r="C28" s="46">
        <f>+DropINTable!C27</f>
        <v>553.04999999999995</v>
      </c>
      <c r="F28" s="47"/>
      <c r="G28" s="47"/>
      <c r="H28" s="47"/>
      <c r="I28" s="47"/>
      <c r="AA28" t="s">
        <v>1185</v>
      </c>
      <c r="AB28" s="46">
        <f>IF(DropINTable!AB33-DropINTable!AB32&lt;0,0,+DropINTable!AB33-DropINTable!AB32)</f>
        <v>0</v>
      </c>
      <c r="AC28" s="46">
        <f>IF(DropINTable!AC33-DropINTable!AC32&lt;0,0,+DropINTable!AC33-DropINTable!AC32)</f>
        <v>99.602749168262164</v>
      </c>
      <c r="AD28" s="46">
        <f>IF(DropINTable!AD33-DropINTable!AD32&lt;0,0,+DropINTable!AD33-DropINTable!AD32)</f>
        <v>99.502214175694178</v>
      </c>
      <c r="AE28" s="46">
        <f>IF(DropINTable!AE33-DropINTable!AE32&lt;0,0,+DropINTable!AE33-DropINTable!AE32)</f>
        <v>99.354640312145364</v>
      </c>
      <c r="AF28" s="46">
        <f>IF(DropINTable!AF33-DropINTable!AF32&lt;0,0,+DropINTable!AF33-DropINTable!AF32)</f>
        <v>99.086305060341488</v>
      </c>
      <c r="AG28" s="46">
        <f>IF(DropINTable!AG33-DropINTable!AG32&lt;0,0,+DropINTable!AG33-DropINTable!AG32)</f>
        <v>98.715725161779801</v>
      </c>
      <c r="AH28" s="46">
        <f>IF(DropINTable!AH33-DropINTable!AH32&lt;0,0,+DropINTable!AH33-DropINTable!AH32)</f>
        <v>98.177519813553204</v>
      </c>
      <c r="AI28" s="46">
        <f>IF(DropINTable!AI33-DropINTable!AI32&lt;0,0,+DropINTable!AI33-DropINTable!AI32)</f>
        <v>97.720681837633038</v>
      </c>
      <c r="AJ28" s="46">
        <f>IF(DropINTable!AJ33-DropINTable!AJ32&lt;0,0,+DropINTable!AJ33-DropINTable!AJ32)</f>
        <v>97.171831813924655</v>
      </c>
      <c r="AK28" s="46">
        <f>IF(DropINTable!AK33-DropINTable!AK32&lt;0,0,+DropINTable!AK33-DropINTable!AK32)</f>
        <v>96.881252768940044</v>
      </c>
      <c r="AL28" s="46">
        <f>IF(DropINTable!AL33-DropINTable!AL32&lt;0,0,+DropINTable!AL33-DropINTable!AL32)</f>
        <v>96.541538698522572</v>
      </c>
      <c r="AM28" s="46">
        <f>IF(DropINTable!AM33-DropINTable!AM32&lt;0,0,+DropINTable!AM33-DropINTable!AM32)</f>
        <v>95.730256390486829</v>
      </c>
      <c r="AN28" s="46">
        <f>IF(DropINTable!AN33-DropINTable!AN32&lt;0,0,+DropINTable!AN33-DropINTable!AN32)</f>
        <v>94.771268474787576</v>
      </c>
      <c r="AO28" s="46">
        <f>IF(DropINTable!AO33-DropINTable!AO32&lt;0,0,+DropINTable!AO33-DropINTable!AO32)</f>
        <v>94.542690458563584</v>
      </c>
      <c r="AP28" s="46"/>
      <c r="AQ28" s="46"/>
    </row>
    <row r="29" spans="1:43" ht="14.25" x14ac:dyDescent="0.2">
      <c r="A29" t="s">
        <v>1087</v>
      </c>
      <c r="B29" s="46">
        <f>+DropINTable!B28</f>
        <v>994.46</v>
      </c>
      <c r="C29" s="46">
        <f>+DropINTable!C28</f>
        <v>719.84</v>
      </c>
      <c r="F29" s="47"/>
      <c r="G29" s="47"/>
      <c r="H29" s="47"/>
      <c r="I29" s="47"/>
      <c r="AP29" s="46"/>
      <c r="AQ29" s="46"/>
    </row>
    <row r="30" spans="1:43" ht="14.25" x14ac:dyDescent="0.2">
      <c r="A30" t="s">
        <v>1089</v>
      </c>
      <c r="B30" s="46">
        <f>+DropINTable!B29</f>
        <v>1183.9000000000001</v>
      </c>
      <c r="C30" s="46">
        <f>+DropINTable!C29</f>
        <v>886.51</v>
      </c>
      <c r="F30" s="47"/>
      <c r="G30" s="47"/>
      <c r="H30" s="47"/>
      <c r="I30" s="47"/>
      <c r="AP30" s="46"/>
      <c r="AQ30" s="46"/>
    </row>
    <row r="31" spans="1:43" ht="28.5" x14ac:dyDescent="0.45">
      <c r="A31" t="s">
        <v>1128</v>
      </c>
      <c r="B31" s="46">
        <f>+DropINTable!B30</f>
        <v>1373.34</v>
      </c>
      <c r="C31" s="46">
        <f>+DropINTable!C30</f>
        <v>1053.17</v>
      </c>
      <c r="F31" s="47"/>
      <c r="G31" s="47"/>
      <c r="H31" s="47"/>
      <c r="I31" s="47"/>
      <c r="AA31" s="368" t="s">
        <v>238</v>
      </c>
      <c r="AB31" s="46"/>
      <c r="AC31" s="46"/>
      <c r="AD31" s="46"/>
      <c r="AE31" s="46"/>
      <c r="AF31" s="46"/>
      <c r="AG31" s="46"/>
      <c r="AH31" s="46"/>
      <c r="AI31" s="46"/>
      <c r="AJ31" s="46"/>
      <c r="AK31" s="46"/>
      <c r="AL31" s="46"/>
      <c r="AM31" s="46"/>
      <c r="AN31" s="46"/>
      <c r="AO31" s="46"/>
      <c r="AP31" s="46"/>
      <c r="AQ31" s="46"/>
    </row>
    <row r="32" spans="1:43" ht="15" x14ac:dyDescent="0.25">
      <c r="A32" t="s">
        <v>1129</v>
      </c>
      <c r="B32" s="46">
        <f>+DropINTable!B31</f>
        <v>1562.78</v>
      </c>
      <c r="C32" s="46">
        <f>+DropINTable!C31</f>
        <v>1218</v>
      </c>
      <c r="H32" s="49"/>
      <c r="I32" s="50"/>
      <c r="AA32" t="s">
        <v>1085</v>
      </c>
      <c r="AB32" s="46">
        <f>+DropINTable!AB39</f>
        <v>0</v>
      </c>
      <c r="AC32" s="46">
        <f>+DropINTable!AC39</f>
        <v>636.5749508786057</v>
      </c>
      <c r="AD32" s="46">
        <f>+DropINTable!AD39</f>
        <v>652.88005438802702</v>
      </c>
      <c r="AE32" s="46">
        <f>+DropINTable!AE39</f>
        <v>676.81396993914336</v>
      </c>
      <c r="AF32" s="46">
        <f>+DropINTable!AF39</f>
        <v>720.3332033050076</v>
      </c>
      <c r="AG32" s="46">
        <f>+DropINTable!AG39</f>
        <v>780.43461219008236</v>
      </c>
      <c r="AH32" s="46">
        <f>+DropINTable!AH39</f>
        <v>867.72200045670468</v>
      </c>
      <c r="AI32" s="46">
        <f>+DropINTable!AI39</f>
        <v>941.81310919687598</v>
      </c>
      <c r="AJ32" s="46">
        <f>+DropINTable!AJ39</f>
        <v>1030.82711066306</v>
      </c>
      <c r="AK32" s="46">
        <f>+DropINTable!AK39</f>
        <v>1077.9541100338035</v>
      </c>
      <c r="AL32" s="46">
        <f>+DropINTable!AL39</f>
        <v>1133.0495739939033</v>
      </c>
      <c r="AM32" s="46">
        <f>+DropINTable!AM39</f>
        <v>1264.6251434119679</v>
      </c>
      <c r="AN32" s="46">
        <f>+DropINTable!AN39</f>
        <v>1420.1560769450159</v>
      </c>
      <c r="AO32" s="46">
        <f>+DropINTable!AO39</f>
        <v>1457.2274363071283</v>
      </c>
      <c r="AP32" s="46"/>
      <c r="AQ32" s="46"/>
    </row>
    <row r="33" spans="1:44" ht="14.25" x14ac:dyDescent="0.2">
      <c r="A33" t="s">
        <v>1096</v>
      </c>
      <c r="B33" s="46">
        <f>+DropINTable!B32</f>
        <v>568.32000000000005</v>
      </c>
      <c r="C33" s="46">
        <f>+DropINTable!C32</f>
        <v>339.12</v>
      </c>
      <c r="F33" s="47"/>
      <c r="G33" s="47"/>
      <c r="H33" s="47"/>
      <c r="I33" s="47"/>
      <c r="AA33" t="s">
        <v>1185</v>
      </c>
      <c r="AB33" s="46">
        <f>IF(DropINTable!AB40-DropINTable!AB39&lt;0,0,+DropINTable!AB40-DropINTable!AB39)</f>
        <v>0</v>
      </c>
      <c r="AC33" s="46">
        <f>IF(DropINTable!AC40-DropINTable!AC39&lt;0,0,+DropINTable!AC40-DropINTable!AC39)</f>
        <v>0</v>
      </c>
      <c r="AD33" s="46">
        <f>IF(DropINTable!AD40-DropINTable!AD39&lt;0,0,+DropINTable!AD40-DropINTable!AD39)</f>
        <v>94.656430972668204</v>
      </c>
      <c r="AE33" s="46">
        <f>IF(DropINTable!AE40-DropINTable!AE39&lt;0,0,+DropINTable!AE40-DropINTable!AE39)</f>
        <v>94.63371708568809</v>
      </c>
      <c r="AF33" s="46">
        <f>IF(DropINTable!AF40-DropINTable!AF39&lt;0,0,+DropINTable!AF40-DropINTable!AF39)</f>
        <v>94.592419167007506</v>
      </c>
      <c r="AG33" s="46">
        <f>IF(DropINTable!AG40-DropINTable!AG39&lt;0,0,+DropINTable!AG40-DropINTable!AG39)</f>
        <v>94.535388067827739</v>
      </c>
      <c r="AH33" s="46">
        <f>IF(DropINTable!AH40-DropINTable!AH39&lt;0,0,+DropINTable!AH40-DropINTable!AH39)</f>
        <v>94.452559339950085</v>
      </c>
      <c r="AI33" s="46">
        <f>IF(DropINTable!AI40-DropINTable!AI39&lt;0,0,+DropINTable!AI40-DropINTable!AI39)</f>
        <v>94.38224866232008</v>
      </c>
      <c r="AJ33" s="46">
        <f>IF(DropINTable!AJ40-DropINTable!AJ39&lt;0,0,+DropINTable!AJ40-DropINTable!AJ39)</f>
        <v>94.297779885288264</v>
      </c>
      <c r="AK33" s="46">
        <f>IF(DropINTable!AK40-DropINTable!AK39&lt;0,0,+DropINTable!AK40-DropINTable!AK39)</f>
        <v>94.253060245605639</v>
      </c>
      <c r="AL33" s="46">
        <f>IF(DropINTable!AL40-DropINTable!AL39&lt;0,0,+DropINTable!AL40-DropINTable!AL39)</f>
        <v>94.200775005684363</v>
      </c>
      <c r="AM33" s="46">
        <f>IF(DropINTable!AM40-DropINTable!AM39&lt;0,0,+DropINTable!AM40-DropINTable!AM39)</f>
        <v>94.07591993365304</v>
      </c>
      <c r="AN33" s="46">
        <f>IF(DropINTable!AN40-DropINTable!AN39&lt;0,0,+DropINTable!AN40-DropINTable!AN39)</f>
        <v>93.928330460385951</v>
      </c>
      <c r="AO33" s="46">
        <f>IF(DropINTable!AO40-DropINTable!AO39&lt;0,0,+DropINTable!AO40-DropINTable!AO39)</f>
        <v>93.893148220098965</v>
      </c>
      <c r="AP33" s="46"/>
      <c r="AQ33" s="46"/>
    </row>
    <row r="34" spans="1:44" ht="14.25" x14ac:dyDescent="0.2">
      <c r="A34" t="s">
        <v>1098</v>
      </c>
      <c r="B34" s="46">
        <f>+DropINTable!B33</f>
        <v>767.11</v>
      </c>
      <c r="C34" s="46">
        <f>+DropINTable!C33</f>
        <v>515.27</v>
      </c>
      <c r="F34" s="47"/>
      <c r="G34" s="47"/>
      <c r="H34" s="47"/>
      <c r="I34" s="47"/>
      <c r="AB34" s="46"/>
      <c r="AC34" s="46"/>
      <c r="AD34" s="46"/>
      <c r="AE34" s="46"/>
      <c r="AF34" s="46"/>
      <c r="AG34" s="46"/>
      <c r="AH34" s="46"/>
      <c r="AI34" s="46"/>
      <c r="AJ34" s="46"/>
      <c r="AK34" s="46"/>
      <c r="AL34" s="46"/>
      <c r="AM34" s="46"/>
      <c r="AN34" s="46"/>
      <c r="AO34" s="46"/>
      <c r="AP34" s="46"/>
      <c r="AQ34" s="46"/>
    </row>
    <row r="35" spans="1:44" ht="14.25" x14ac:dyDescent="0.2">
      <c r="A35" t="s">
        <v>1100</v>
      </c>
      <c r="B35" s="46">
        <f>+DropINTable!B34</f>
        <v>956.55</v>
      </c>
      <c r="C35" s="46">
        <f>+DropINTable!C34</f>
        <v>681.93</v>
      </c>
      <c r="F35" s="47"/>
      <c r="G35" s="47"/>
      <c r="H35" s="47"/>
      <c r="I35" s="47"/>
      <c r="AA35" t="s">
        <v>1096</v>
      </c>
      <c r="AB35" s="46">
        <f>+DropINTable!AB44</f>
        <v>332.80898617064111</v>
      </c>
      <c r="AC35" s="46">
        <f>+DropINTable!AC44</f>
        <v>349.95024176214082</v>
      </c>
      <c r="AD35" s="46">
        <f>+DropINTable!AD44</f>
        <v>366.09856587912606</v>
      </c>
      <c r="AE35" s="46">
        <f>+DropINTable!AE44</f>
        <v>389.80234885636293</v>
      </c>
      <c r="AF35" s="46">
        <f>+DropINTable!AF44</f>
        <v>432.90312973620524</v>
      </c>
      <c r="AG35" s="46">
        <f>+DropINTable!AG44</f>
        <v>492.42664296775422</v>
      </c>
      <c r="AH35" s="46">
        <f>+DropINTable!AH44</f>
        <v>578.87473352193797</v>
      </c>
      <c r="AI35" s="46">
        <f>+DropINTable!AI44</f>
        <v>652.25342985688314</v>
      </c>
      <c r="AJ35" s="46">
        <f>+DropINTable!AJ44</f>
        <v>740.41153083284121</v>
      </c>
      <c r="AK35" s="46">
        <f>+DropINTable!AK44</f>
        <v>787.08538854732558</v>
      </c>
      <c r="AL35" s="46">
        <f>+DropINTable!AL44</f>
        <v>841.65109231130282</v>
      </c>
      <c r="AM35" s="46">
        <f>+DropINTable!AM44</f>
        <v>971.96151635078627</v>
      </c>
      <c r="AN35" s="46">
        <f>+DropINTable!AN44</f>
        <v>1125.9969667662522</v>
      </c>
      <c r="AO35" s="46">
        <f>+DropINTable!AO44</f>
        <v>1162.7118712824911</v>
      </c>
      <c r="AP35" s="46"/>
      <c r="AQ35" s="46"/>
    </row>
    <row r="36" spans="1:44" ht="14.25" x14ac:dyDescent="0.2">
      <c r="A36" t="s">
        <v>1130</v>
      </c>
      <c r="B36" s="46">
        <f>+DropINTable!B35</f>
        <v>1145.99</v>
      </c>
      <c r="C36" s="46">
        <f>+DropINTable!C35</f>
        <v>848.6</v>
      </c>
      <c r="F36" s="47"/>
      <c r="G36" s="47"/>
      <c r="H36" s="47"/>
      <c r="I36" s="47"/>
      <c r="AA36" t="s">
        <v>1185</v>
      </c>
      <c r="AB36" s="46">
        <f>IF(DropINTable!AB45-DropINTable!AB44&lt;0,0,+DropINTable!AB45-DropINTable!AB44)</f>
        <v>0</v>
      </c>
      <c r="AC36" s="46">
        <f>IF(DropINTable!AC45-DropINTable!AC44&lt;0,0,+DropINTable!AC45-DropINTable!AC44)</f>
        <v>99.477644937468426</v>
      </c>
      <c r="AD36" s="46">
        <f>IF(DropINTable!AD45-DropINTable!AD44&lt;0,0,+DropINTable!AD45-DropINTable!AD44)</f>
        <v>99.377110078603039</v>
      </c>
      <c r="AE36" s="46">
        <f>IF(DropINTable!AE45-DropINTable!AE44&lt;0,0,+DropINTable!AE45-DropINTable!AE44)</f>
        <v>99.229535577906802</v>
      </c>
      <c r="AF36" s="46">
        <f>IF(DropINTable!AF45-DropINTable!AF44&lt;0,0,+DropINTable!AF45-DropINTable!AF44)</f>
        <v>98.961199306478932</v>
      </c>
      <c r="AG36" s="46">
        <f>IF(DropINTable!AG45-DropINTable!AG44&lt;0,0,+DropINTable!AG45-DropINTable!AG44)</f>
        <v>98.590621434386549</v>
      </c>
      <c r="AH36" s="46">
        <f>IF(DropINTable!AH45-DropINTable!AH44&lt;0,0,+DropINTable!AH45-DropINTable!AH44)</f>
        <v>98.052415508884906</v>
      </c>
      <c r="AI36" s="46">
        <f>IF(DropINTable!AI45-DropINTable!AI44&lt;0,0,+DropINTable!AI45-DropINTable!AI44)</f>
        <v>97.595577240383022</v>
      </c>
      <c r="AJ36" s="46">
        <f>IF(DropINTable!AJ45-DropINTable!AJ44&lt;0,0,+DropINTable!AJ45-DropINTable!AJ44)</f>
        <v>97.046726477575817</v>
      </c>
      <c r="AK36" s="46">
        <f>IF(DropINTable!AK45-DropINTable!AK44&lt;0,0,+DropINTable!AK45-DropINTable!AK44)</f>
        <v>96.756144583694095</v>
      </c>
      <c r="AL36" s="46">
        <f>IF(DropINTable!AL45-DropINTable!AL44&lt;0,0,+DropINTable!AL45-DropINTable!AL44)</f>
        <v>96.416430851627865</v>
      </c>
      <c r="AM36" s="46">
        <f>IF(DropINTable!AM45-DropINTable!AM44&lt;0,0,+DropINTable!AM45-DropINTable!AM44)</f>
        <v>95.60515138269534</v>
      </c>
      <c r="AN36" s="46">
        <f>IF(DropINTable!AN45-DropINTable!AN44&lt;0,0,+DropINTable!AN45-DropINTable!AN44)</f>
        <v>94.646162291905057</v>
      </c>
      <c r="AO36" s="46">
        <f>IF(DropINTable!AO45-DropINTable!AO44&lt;0,0,+DropINTable!AO45-DropINTable!AO44)</f>
        <v>94.417584806577906</v>
      </c>
      <c r="AP36" s="46"/>
      <c r="AQ36" s="46"/>
    </row>
    <row r="37" spans="1:44" ht="15" x14ac:dyDescent="0.25">
      <c r="A37" t="s">
        <v>1131</v>
      </c>
      <c r="B37" s="46">
        <f>+DropINTable!B36</f>
        <v>1335.43</v>
      </c>
      <c r="C37" s="46">
        <f>+DropINTable!C36</f>
        <v>1015.26</v>
      </c>
      <c r="H37" s="51"/>
      <c r="I37" s="51"/>
      <c r="AP37" s="46"/>
      <c r="AQ37" s="46"/>
    </row>
    <row r="38" spans="1:44" ht="15" x14ac:dyDescent="0.25">
      <c r="F38" s="52"/>
      <c r="G38" s="51"/>
      <c r="H38" s="51"/>
      <c r="I38" s="51"/>
      <c r="J38" s="369"/>
      <c r="AP38" s="46"/>
      <c r="AQ38" s="46"/>
    </row>
    <row r="39" spans="1:44" ht="28.5" x14ac:dyDescent="0.45">
      <c r="J39" s="371"/>
      <c r="K39" s="371"/>
      <c r="AA39" s="368" t="s">
        <v>232</v>
      </c>
      <c r="AB39" s="46"/>
      <c r="AC39" s="46"/>
      <c r="AD39" s="46"/>
      <c r="AE39" s="46"/>
      <c r="AF39" s="46"/>
      <c r="AG39" s="46"/>
      <c r="AH39" s="46"/>
      <c r="AI39" s="46"/>
      <c r="AJ39" s="46"/>
      <c r="AK39" s="46"/>
      <c r="AL39" s="46"/>
      <c r="AM39" s="46"/>
      <c r="AN39" s="46"/>
      <c r="AO39" s="46"/>
      <c r="AP39" s="46"/>
      <c r="AQ39" s="46"/>
    </row>
    <row r="40" spans="1:44" x14ac:dyDescent="0.2">
      <c r="J40" s="369"/>
      <c r="AA40" t="s">
        <v>1085</v>
      </c>
      <c r="AB40" s="46">
        <f>+DropINTable!AB51</f>
        <v>0</v>
      </c>
      <c r="AC40" s="46">
        <f>+DropINTable!AC51</f>
        <v>623.72884519680986</v>
      </c>
      <c r="AD40" s="46">
        <f>+DropINTable!AD51</f>
        <v>640.03394872071715</v>
      </c>
      <c r="AE40" s="46">
        <f>+DropINTable!AE51</f>
        <v>663.96786442584141</v>
      </c>
      <c r="AF40" s="46">
        <f>+DropINTable!AF51</f>
        <v>707.48709754773256</v>
      </c>
      <c r="AG40" s="46">
        <f>+DropINTable!AG51</f>
        <v>767.58850640688502</v>
      </c>
      <c r="AH40" s="46">
        <f>+DropINTable!AH51</f>
        <v>854.87589501202024</v>
      </c>
      <c r="AI40" s="46">
        <f>+DropINTable!AI51</f>
        <v>928.96700381928417</v>
      </c>
      <c r="AJ40" s="46">
        <f>+DropINTable!AJ51</f>
        <v>1017.9810049866011</v>
      </c>
      <c r="AK40" s="46">
        <f>+DropINTable!AK51</f>
        <v>1065.1080053088399</v>
      </c>
      <c r="AL40" s="46">
        <f>+DropINTable!AL51</f>
        <v>1120.203468585815</v>
      </c>
      <c r="AM40" s="46">
        <f>+DropINTable!AM51</f>
        <v>1251.7790382844485</v>
      </c>
      <c r="AN40" s="46">
        <f>+DropINTable!AN51</f>
        <v>1407.309971549126</v>
      </c>
      <c r="AO40" s="46">
        <f>+DropINTable!AO51</f>
        <v>1444.3813304476896</v>
      </c>
      <c r="AP40" s="46"/>
      <c r="AQ40" s="46"/>
      <c r="AR40" s="46"/>
    </row>
    <row r="41" spans="1:44" ht="15" x14ac:dyDescent="0.25">
      <c r="B41" s="46"/>
      <c r="C41" s="46"/>
      <c r="J41" s="371"/>
      <c r="AA41" t="s">
        <v>1185</v>
      </c>
      <c r="AB41" s="46">
        <f>IF(DropINTable!AB52-DropINTable!AB51&lt;0,0,+DropINTable!AB52-DropINTable!AB51)</f>
        <v>0</v>
      </c>
      <c r="AC41" s="46">
        <f>IF(DropINTable!AC52-DropINTable!AC51&lt;0,0,+DropINTable!AC52-DropINTable!AC51)</f>
        <v>0</v>
      </c>
      <c r="AD41" s="46">
        <f>IF(DropINTable!AD52-DropINTable!AD51&lt;0,0,+DropINTable!AD52-DropINTable!AD51)</f>
        <v>94.668620707694799</v>
      </c>
      <c r="AE41" s="46">
        <f>IF(DropINTable!AE52-DropINTable!AE51&lt;0,0,+DropINTable!AE52-DropINTable!AE51)</f>
        <v>94.645907346837475</v>
      </c>
      <c r="AF41" s="46">
        <f>IF(DropINTable!AF52-DropINTable!AF51&lt;0,0,+DropINTable!AF52-DropINTable!AF51)</f>
        <v>94.604609598997286</v>
      </c>
      <c r="AG41" s="46">
        <f>IF(DropINTable!AG52-DropINTable!AG51&lt;0,0,+DropINTable!AG52-DropINTable!AG51)</f>
        <v>94.547578774389876</v>
      </c>
      <c r="AH41" s="46">
        <f>IF(DropINTable!AH52-DropINTable!AH51&lt;0,0,+DropINTable!AH52-DropINTable!AH51)</f>
        <v>94.464748537882542</v>
      </c>
      <c r="AI41" s="46">
        <f>IF(DropINTable!AI52-DropINTable!AI51&lt;0,0,+DropINTable!AI52-DropINTable!AI51)</f>
        <v>94.394440279658397</v>
      </c>
      <c r="AJ41" s="46">
        <f>IF(DropINTable!AJ52-DropINTable!AJ51&lt;0,0,+DropINTable!AJ52-DropINTable!AJ51)</f>
        <v>94.30996919798315</v>
      </c>
      <c r="AK41" s="46">
        <f>IF(DropINTable!AK52-DropINTable!AK51&lt;0,0,+DropINTable!AK52-DropINTable!AK51)</f>
        <v>94.265249981692932</v>
      </c>
      <c r="AL41" s="46">
        <f>IF(DropINTable!AL52-DropINTable!AL51&lt;0,0,+DropINTable!AL52-DropINTable!AL51)</f>
        <v>94.212965600413554</v>
      </c>
      <c r="AM41" s="46">
        <f>IF(DropINTable!AM52-DropINTable!AM51&lt;0,0,+DropINTable!AM52-DropINTable!AM51)</f>
        <v>94.088111037642193</v>
      </c>
      <c r="AN41" s="46">
        <f>IF(DropINTable!AN52-DropINTable!AN51&lt;0,0,+DropINTable!AN52-DropINTable!AN51)</f>
        <v>93.940521013664238</v>
      </c>
      <c r="AO41" s="46">
        <f>IF(DropINTable!AO52-DropINTable!AO51&lt;0,0,+DropINTable!AO52-DropINTable!AO51)</f>
        <v>93.905339880489919</v>
      </c>
      <c r="AP41" s="46"/>
      <c r="AQ41" s="46"/>
      <c r="AR41" s="46"/>
    </row>
    <row r="42" spans="1:44" x14ac:dyDescent="0.2">
      <c r="B42" s="46"/>
      <c r="C42" s="46"/>
      <c r="K42" s="379"/>
      <c r="AB42" s="46"/>
      <c r="AC42" s="46"/>
      <c r="AD42" s="46"/>
      <c r="AE42" s="46"/>
      <c r="AF42" s="46"/>
      <c r="AG42" s="46"/>
      <c r="AH42" s="46"/>
      <c r="AI42" s="46"/>
      <c r="AJ42" s="46"/>
      <c r="AK42" s="46"/>
      <c r="AL42" s="46"/>
      <c r="AM42" s="46"/>
      <c r="AN42" s="46"/>
      <c r="AO42" s="46"/>
      <c r="AP42" s="46"/>
      <c r="AQ42" s="46"/>
      <c r="AR42" s="46"/>
    </row>
    <row r="43" spans="1:44" x14ac:dyDescent="0.2">
      <c r="B43" s="46"/>
      <c r="C43" s="46"/>
      <c r="K43" s="379"/>
      <c r="AA43" t="s">
        <v>1096</v>
      </c>
      <c r="AB43" s="46">
        <f>+DropINTable!AB56</f>
        <v>320.08640078508313</v>
      </c>
      <c r="AC43" s="46">
        <f>+DropINTable!AC56</f>
        <v>337.22765582197434</v>
      </c>
      <c r="AD43" s="46">
        <f>+DropINTable!AD56</f>
        <v>353.37598018601835</v>
      </c>
      <c r="AE43" s="46">
        <f>+DropINTable!AE56</f>
        <v>377.07976306781666</v>
      </c>
      <c r="AF43" s="46">
        <f>+DropINTable!AF56</f>
        <v>420.18054361258197</v>
      </c>
      <c r="AG43" s="46">
        <f>+DropINTable!AG56</f>
        <v>479.70405737925381</v>
      </c>
      <c r="AH43" s="46">
        <f>+DropINTable!AH56</f>
        <v>566.15214795177519</v>
      </c>
      <c r="AI43" s="46">
        <f>+DropINTable!AI56</f>
        <v>639.53084454011184</v>
      </c>
      <c r="AJ43" s="46">
        <f>+DropINTable!AJ56</f>
        <v>727.68894485925205</v>
      </c>
      <c r="AK43" s="46">
        <f>+DropINTable!AK56</f>
        <v>774.36280351395283</v>
      </c>
      <c r="AL43" s="46">
        <f>+DropINTable!AL56</f>
        <v>828.92850594429024</v>
      </c>
      <c r="AM43" s="46">
        <f>+DropINTable!AM56</f>
        <v>959.23893081063022</v>
      </c>
      <c r="AN43" s="46">
        <f>+DropINTable!AN56</f>
        <v>1113.2743808126679</v>
      </c>
      <c r="AO43" s="46">
        <f>+DropINTable!AO56</f>
        <v>1149.9892851888746</v>
      </c>
      <c r="AP43" s="46"/>
      <c r="AQ43" s="46"/>
      <c r="AR43" s="46"/>
    </row>
    <row r="44" spans="1:44" x14ac:dyDescent="0.2">
      <c r="B44" s="46"/>
      <c r="C44" s="46"/>
      <c r="K44" s="379"/>
      <c r="AA44" t="s">
        <v>1185</v>
      </c>
      <c r="AB44" s="46">
        <f>IF(DropINTable!AB57-DropINTable!AB56&lt;0,0,+DropINTable!AB57-DropINTable!AB56)</f>
        <v>0</v>
      </c>
      <c r="AC44" s="46">
        <f>IF(DropINTable!AC57-DropINTable!AC56&lt;0,0,+DropINTable!AC57-DropINTable!AC56)</f>
        <v>99.55685350857442</v>
      </c>
      <c r="AD44" s="46">
        <f>IF(DropINTable!AD57-DropINTable!AD56&lt;0,0,+DropINTable!AD57-DropINTable!AD56)</f>
        <v>99.456317537838913</v>
      </c>
      <c r="AE44" s="46">
        <f>IF(DropINTable!AE57-DropINTable!AE56&lt;0,0,+DropINTable!AE57-DropINTable!AE56)</f>
        <v>99.308742788622055</v>
      </c>
      <c r="AF44" s="46">
        <f>IF(DropINTable!AF57-DropINTable!AF56&lt;0,0,+DropINTable!AF57-DropINTable!AF56)</f>
        <v>99.040408247762286</v>
      </c>
      <c r="AG44" s="46">
        <f>IF(DropINTable!AG57-DropINTable!AG56&lt;0,0,+DropINTable!AG57-DropINTable!AG56)</f>
        <v>98.669829349177064</v>
      </c>
      <c r="AH44" s="46">
        <f>IF(DropINTable!AH57-DropINTable!AH56&lt;0,0,+DropINTable!AH57-DropINTable!AH56)</f>
        <v>98.13162356257601</v>
      </c>
      <c r="AI44" s="46">
        <f>IF(DropINTable!AI57-DropINTable!AI56&lt;0,0,+DropINTable!AI57-DropINTable!AI56)</f>
        <v>97.674784726205871</v>
      </c>
      <c r="AJ44" s="46">
        <f>IF(DropINTable!AJ57-DropINTable!AJ56&lt;0,0,+DropINTable!AJ57-DropINTable!AJ56)</f>
        <v>97.125934187811026</v>
      </c>
      <c r="AK44" s="46">
        <f>IF(DropINTable!AK57-DropINTable!AK56&lt;0,0,+DropINTable!AK57-DropINTable!AK56)</f>
        <v>96.835353555050801</v>
      </c>
      <c r="AL44" s="46">
        <f>IF(DropINTable!AL57-DropINTable!AL56&lt;0,0,+DropINTable!AL57-DropINTable!AL56)</f>
        <v>96.495638247713373</v>
      </c>
      <c r="AM44" s="46">
        <f>IF(DropINTable!AM57-DropINTable!AM56&lt;0,0,+DropINTable!AM57-DropINTable!AM56)</f>
        <v>95.684359052593322</v>
      </c>
      <c r="AN44" s="46">
        <f>IF(DropINTable!AN57-DropINTable!AN56&lt;0,0,+DropINTable!AN57-DropINTable!AN56)</f>
        <v>94.725369903515912</v>
      </c>
      <c r="AO44" s="46">
        <f>IF(DropINTable!AO57-DropINTable!AO56&lt;0,0,+DropINTable!AO57-DropINTable!AO56)</f>
        <v>94.496794130605394</v>
      </c>
      <c r="AP44" s="46"/>
      <c r="AQ44" s="46"/>
      <c r="AR44" s="46"/>
    </row>
    <row r="45" spans="1:44" x14ac:dyDescent="0.2">
      <c r="B45" s="46"/>
      <c r="C45" s="46"/>
      <c r="K45" s="379"/>
      <c r="AP45" s="46"/>
      <c r="AQ45" s="46"/>
      <c r="AR45" s="46"/>
    </row>
    <row r="46" spans="1:44" x14ac:dyDescent="0.2">
      <c r="B46" s="46"/>
      <c r="C46" s="46"/>
      <c r="K46" s="379"/>
      <c r="AP46" s="46"/>
      <c r="AQ46" s="46"/>
      <c r="AR46" s="46"/>
    </row>
    <row r="47" spans="1:44" ht="28.5" x14ac:dyDescent="0.45">
      <c r="B47" s="46"/>
      <c r="C47" s="46"/>
      <c r="K47" s="379"/>
      <c r="AA47" s="368" t="s">
        <v>239</v>
      </c>
      <c r="AB47" s="46"/>
      <c r="AC47" s="46"/>
      <c r="AD47" s="46"/>
      <c r="AE47" s="46"/>
      <c r="AF47" s="46"/>
      <c r="AG47" s="46"/>
      <c r="AH47" s="46"/>
      <c r="AI47" s="46"/>
      <c r="AJ47" s="46"/>
      <c r="AK47" s="46"/>
      <c r="AL47" s="46"/>
      <c r="AM47" s="46"/>
      <c r="AN47" s="46"/>
      <c r="AO47" s="46"/>
      <c r="AP47" s="46"/>
      <c r="AQ47" s="46"/>
      <c r="AR47" s="46"/>
    </row>
    <row r="48" spans="1:44" x14ac:dyDescent="0.2">
      <c r="B48" s="46"/>
      <c r="C48" s="46"/>
      <c r="K48" s="379"/>
      <c r="AA48" t="s">
        <v>1085</v>
      </c>
      <c r="AB48" s="46">
        <f>+DropINTable!AB63</f>
        <v>0</v>
      </c>
      <c r="AC48" s="46">
        <f>+DropINTable!AC63</f>
        <v>664.24024087328621</v>
      </c>
      <c r="AD48" s="46">
        <f>+DropINTable!AD63</f>
        <v>680.54534493088477</v>
      </c>
      <c r="AE48" s="46">
        <f>+DropINTable!AE63</f>
        <v>704.47925939022093</v>
      </c>
      <c r="AF48" s="46">
        <f>+DropINTable!AF63</f>
        <v>747.99849247551595</v>
      </c>
      <c r="AG48" s="46">
        <f>+DropINTable!AG63</f>
        <v>808.09990271769152</v>
      </c>
      <c r="AH48" s="46">
        <f>+DropINTable!AH63</f>
        <v>895.38729068544671</v>
      </c>
      <c r="AI48" s="46">
        <f>+DropINTable!AI63</f>
        <v>969.47839970008783</v>
      </c>
      <c r="AJ48" s="46">
        <f>+DropINTable!AJ63</f>
        <v>1058.4924003794586</v>
      </c>
      <c r="AK48" s="46">
        <f>+DropINTable!AK63</f>
        <v>1105.6193998050958</v>
      </c>
      <c r="AL48" s="46">
        <f>+DropINTable!AL63</f>
        <v>1160.7148658328688</v>
      </c>
      <c r="AM48" s="46">
        <f>+DropINTable!AM63</f>
        <v>1292.2904332625517</v>
      </c>
      <c r="AN48" s="46">
        <f>+DropINTable!AN63</f>
        <v>1447.8213666736128</v>
      </c>
      <c r="AO48" s="46">
        <f>+DropINTable!AO63</f>
        <v>1484.8927274629687</v>
      </c>
      <c r="AP48" s="46"/>
      <c r="AQ48" s="46"/>
      <c r="AR48" s="46"/>
    </row>
    <row r="49" spans="2:44" x14ac:dyDescent="0.2">
      <c r="B49" s="46"/>
      <c r="C49" s="46"/>
      <c r="K49" s="379"/>
      <c r="AA49" t="s">
        <v>1185</v>
      </c>
      <c r="AB49" s="46">
        <f>IF(DropINTable!AB64-DropINTable!AB63&lt;0,0,+DropINTable!AB64-DropINTable!AB63)</f>
        <v>0</v>
      </c>
      <c r="AC49" s="46">
        <f>IF(DropINTable!AC64-DropINTable!AC63&lt;0,0,+DropINTable!AC64-DropINTable!AC63)</f>
        <v>0</v>
      </c>
      <c r="AD49" s="46">
        <f>IF(DropINTable!AD64-DropINTable!AD63&lt;0,0,+DropINTable!AD64-DropINTable!AD63)</f>
        <v>94.630175929670827</v>
      </c>
      <c r="AE49" s="46">
        <f>IF(DropINTable!AE64-DropINTable!AE63&lt;0,0,+DropINTable!AE64-DropINTable!AE63)</f>
        <v>94.607465174862227</v>
      </c>
      <c r="AF49" s="46">
        <f>IF(DropINTable!AF64-DropINTable!AF63&lt;0,0,+DropINTable!AF64-DropINTable!AF63)</f>
        <v>94.566169291926144</v>
      </c>
      <c r="AG49" s="46">
        <f>IF(DropINTable!AG64-DropINTable!AG63&lt;0,0,+DropINTable!AG64-DropINTable!AG63)</f>
        <v>94.509134349147416</v>
      </c>
      <c r="AH49" s="46">
        <f>IF(DropINTable!AH64-DropINTable!AH63&lt;0,0,+DropINTable!AH64-DropINTable!AH63)</f>
        <v>94.426303828553046</v>
      </c>
      <c r="AI49" s="46">
        <f>IF(DropINTable!AI64-DropINTable!AI63&lt;0,0,+DropINTable!AI64-DropINTable!AI63)</f>
        <v>94.35599441223178</v>
      </c>
      <c r="AJ49" s="46">
        <f>IF(DropINTable!AJ64-DropINTable!AJ63&lt;0,0,+DropINTable!AJ64-DropINTable!AJ63)</f>
        <v>94.271529230293027</v>
      </c>
      <c r="AK49" s="46">
        <f>IF(DropINTable!AK64-DropINTable!AK63&lt;0,0,+DropINTable!AK64-DropINTable!AK63)</f>
        <v>94.226805381802251</v>
      </c>
      <c r="AL49" s="46">
        <f>IF(DropINTable!AL64-DropINTable!AL63&lt;0,0,+DropINTable!AL64-DropINTable!AL63)</f>
        <v>94.174522228122441</v>
      </c>
      <c r="AM49" s="46">
        <f>IF(DropINTable!AM64-DropINTable!AM63&lt;0,0,+DropINTable!AM64-DropINTable!AM63)</f>
        <v>94.04966542935199</v>
      </c>
      <c r="AN49" s="46">
        <f>IF(DropINTable!AN64-DropINTable!AN63&lt;0,0,+DropINTable!AN64-DropINTable!AN63)</f>
        <v>93.902075200483978</v>
      </c>
      <c r="AO49" s="46">
        <f>IF(DropINTable!AO64-DropINTable!AO63&lt;0,0,+DropINTable!AO64-DropINTable!AO63)</f>
        <v>93.866896037903416</v>
      </c>
      <c r="AP49" s="46"/>
      <c r="AQ49" s="46"/>
      <c r="AR49" s="46"/>
    </row>
    <row r="50" spans="2:44" x14ac:dyDescent="0.2">
      <c r="B50" s="46"/>
      <c r="C50" s="46"/>
      <c r="K50" s="379"/>
      <c r="AB50" s="46"/>
      <c r="AC50" s="46"/>
      <c r="AD50" s="46"/>
      <c r="AE50" s="46"/>
      <c r="AF50" s="46"/>
      <c r="AG50" s="46"/>
      <c r="AH50" s="46"/>
      <c r="AI50" s="46"/>
      <c r="AJ50" s="46"/>
      <c r="AK50" s="46"/>
      <c r="AL50" s="46"/>
      <c r="AM50" s="46"/>
      <c r="AN50" s="46"/>
      <c r="AO50" s="46"/>
      <c r="AP50" s="46"/>
      <c r="AQ50" s="46"/>
      <c r="AR50" s="46"/>
    </row>
    <row r="51" spans="2:44" x14ac:dyDescent="0.2">
      <c r="K51" s="379"/>
      <c r="AA51" t="s">
        <v>1096</v>
      </c>
      <c r="AB51" s="46">
        <f>+DropINTable!AB68</f>
        <v>360.20826498638797</v>
      </c>
      <c r="AC51" s="46">
        <f>+DropINTable!AC68</f>
        <v>377.34952018807616</v>
      </c>
      <c r="AD51" s="46">
        <f>+DropINTable!AD68</f>
        <v>393.49784536869134</v>
      </c>
      <c r="AE51" s="46">
        <f>+DropINTable!AE68</f>
        <v>417.20162750073399</v>
      </c>
      <c r="AF51" s="46">
        <f>+DropINTable!AF68</f>
        <v>460.30240766207777</v>
      </c>
      <c r="AG51" s="46">
        <f>+DropINTable!AG68</f>
        <v>519.82592254400595</v>
      </c>
      <c r="AH51" s="46">
        <f>+DropINTable!AH68</f>
        <v>606.27401196959727</v>
      </c>
      <c r="AI51" s="46">
        <f>+DropINTable!AI68</f>
        <v>679.65270939145864</v>
      </c>
      <c r="AJ51" s="46">
        <f>+DropINTable!AJ68</f>
        <v>767.81081064414684</v>
      </c>
      <c r="AK51" s="46">
        <f>+DropINTable!AK68</f>
        <v>814.48466747842917</v>
      </c>
      <c r="AL51" s="46">
        <f>+DropINTable!AL68</f>
        <v>869.05037016215806</v>
      </c>
      <c r="AM51" s="46">
        <f>+DropINTable!AM68</f>
        <v>999.36079466174738</v>
      </c>
      <c r="AN51" s="46">
        <f>+DropINTable!AN68</f>
        <v>1153.396243736905</v>
      </c>
      <c r="AO51" s="46">
        <f>+DropINTable!AO68</f>
        <v>1190.1111505270001</v>
      </c>
      <c r="AP51" s="46"/>
      <c r="AQ51" s="46"/>
      <c r="AR51" s="46"/>
    </row>
    <row r="52" spans="2:44" x14ac:dyDescent="0.2">
      <c r="K52" s="379"/>
      <c r="AA52" t="s">
        <v>1185</v>
      </c>
      <c r="AB52" s="46">
        <f>IF(DropINTable!AB69-DropINTable!AB68&lt;0,0,+DropINTable!AB69-DropINTable!AB68)</f>
        <v>0</v>
      </c>
      <c r="AC52" s="46">
        <f>IF(DropINTable!AC69-DropINTable!AC68&lt;0,0,+DropINTable!AC69-DropINTable!AC68)</f>
        <v>99.30706385000542</v>
      </c>
      <c r="AD52" s="46">
        <f>IF(DropINTable!AD69-DropINTable!AD68&lt;0,0,+DropINTable!AD69-DropINTable!AD68)</f>
        <v>99.206527780099066</v>
      </c>
      <c r="AE52" s="46">
        <f>IF(DropINTable!AE69-DropINTable!AE68&lt;0,0,+DropINTable!AE69-DropINTable!AE68)</f>
        <v>99.058953849429656</v>
      </c>
      <c r="AF52" s="46">
        <f>IF(DropINTable!AF69-DropINTable!AF68&lt;0,0,+DropINTable!AF69-DropINTable!AF68)</f>
        <v>98.790619534753034</v>
      </c>
      <c r="AG52" s="46">
        <f>IF(DropINTable!AG69-DropINTable!AG68&lt;0,0,+DropINTable!AG69-DropINTable!AG68)</f>
        <v>98.420040031936423</v>
      </c>
      <c r="AH52" s="46">
        <f>IF(DropINTable!AH69-DropINTable!AH68&lt;0,0,+DropINTable!AH69-DropINTable!AH68)</f>
        <v>97.881834448834866</v>
      </c>
      <c r="AI52" s="46">
        <f>IF(DropINTable!AI69-DropINTable!AI68&lt;0,0,+DropINTable!AI69-DropINTable!AI68)</f>
        <v>97.424996587182022</v>
      </c>
      <c r="AJ52" s="46">
        <f>IF(DropINTable!AJ69-DropINTable!AJ68&lt;0,0,+DropINTable!AJ69-DropINTable!AJ68)</f>
        <v>96.876145862121462</v>
      </c>
      <c r="AK52" s="46">
        <f>IF(DropINTable!AK69-DropINTable!AK68&lt;0,0,+DropINTable!AK69-DropINTable!AK68)</f>
        <v>96.585563747772767</v>
      </c>
      <c r="AL52" s="46">
        <f>IF(DropINTable!AL69-DropINTable!AL68&lt;0,0,+DropINTable!AL69-DropINTable!AL68)</f>
        <v>96.245850545620442</v>
      </c>
      <c r="AM52" s="46">
        <f>IF(DropINTable!AM69-DropINTable!AM68&lt;0,0,+DropINTable!AM69-DropINTable!AM68)</f>
        <v>95.434570066247261</v>
      </c>
      <c r="AN52" s="46">
        <f>IF(DropINTable!AN69-DropINTable!AN68&lt;0,0,+DropINTable!AN69-DropINTable!AN68)</f>
        <v>94.475585146057256</v>
      </c>
      <c r="AO52" s="46">
        <f>IF(DropINTable!AO69-DropINTable!AO68&lt;0,0,+DropINTable!AO69-DropINTable!AO68)</f>
        <v>94.247005386873752</v>
      </c>
      <c r="AP52" s="46"/>
      <c r="AQ52" s="46"/>
      <c r="AR52" s="46"/>
    </row>
    <row r="53" spans="2:44" x14ac:dyDescent="0.2">
      <c r="K53" s="379"/>
      <c r="AP53" s="46"/>
      <c r="AQ53" s="46"/>
      <c r="AR53" s="46"/>
    </row>
    <row r="54" spans="2:44" x14ac:dyDescent="0.2">
      <c r="K54" s="379"/>
      <c r="AP54" s="46"/>
      <c r="AQ54" s="46"/>
      <c r="AR54" s="46"/>
    </row>
    <row r="55" spans="2:44" ht="28.5" x14ac:dyDescent="0.45">
      <c r="K55" s="379"/>
      <c r="M55" s="46"/>
      <c r="N55" s="46"/>
      <c r="O55" s="46"/>
      <c r="P55" s="46"/>
      <c r="Q55" s="46"/>
      <c r="R55" s="46"/>
      <c r="S55" s="46"/>
      <c r="T55" s="46"/>
      <c r="U55" s="46"/>
      <c r="AA55" s="368" t="s">
        <v>230</v>
      </c>
      <c r="AB55" s="46"/>
      <c r="AC55" s="46"/>
      <c r="AD55" s="46"/>
      <c r="AE55" s="46"/>
      <c r="AF55" s="46"/>
      <c r="AG55" s="46"/>
      <c r="AH55" s="46"/>
      <c r="AI55" s="46"/>
      <c r="AJ55" s="46"/>
      <c r="AK55" s="46"/>
      <c r="AL55" s="46"/>
      <c r="AM55" s="46"/>
      <c r="AN55" s="46"/>
      <c r="AO55" s="46"/>
      <c r="AP55" s="46"/>
      <c r="AQ55" s="46"/>
      <c r="AR55" s="46"/>
    </row>
    <row r="56" spans="2:44" x14ac:dyDescent="0.2">
      <c r="K56" s="379"/>
      <c r="M56" s="46"/>
      <c r="N56" s="46"/>
      <c r="O56" s="46"/>
      <c r="P56" s="46"/>
      <c r="Q56" s="46"/>
      <c r="R56" s="46"/>
      <c r="S56" s="46"/>
      <c r="T56" s="46"/>
      <c r="U56" s="46"/>
      <c r="AA56" t="s">
        <v>1085</v>
      </c>
      <c r="AB56" s="46">
        <f>+DropINTable!AB75</f>
        <v>0</v>
      </c>
      <c r="AC56" s="46">
        <f>+DropINTable!AC75</f>
        <v>600.03778817209025</v>
      </c>
      <c r="AD56" s="46">
        <f>+DropINTable!AD75</f>
        <v>616.34289230288073</v>
      </c>
      <c r="AE56" s="46">
        <f>+DropINTable!AE75</f>
        <v>640.27680743619294</v>
      </c>
      <c r="AF56" s="46">
        <f>+DropINTable!AF75</f>
        <v>683.796040693794</v>
      </c>
      <c r="AG56" s="46">
        <f>+DropINTable!AG75</f>
        <v>743.8974500271695</v>
      </c>
      <c r="AH56" s="46">
        <f>+DropINTable!AH75</f>
        <v>831.18483841272882</v>
      </c>
      <c r="AI56" s="46">
        <f>+DropINTable!AI75</f>
        <v>905.27594713155224</v>
      </c>
      <c r="AJ56" s="46">
        <f>+DropINTable!AJ75</f>
        <v>994.28994839645861</v>
      </c>
      <c r="AK56" s="46">
        <f>+DropINTable!AK75</f>
        <v>1041.4169482978436</v>
      </c>
      <c r="AL56" s="46">
        <f>+DropINTable!AL75</f>
        <v>1096.5124122274469</v>
      </c>
      <c r="AM56" s="46">
        <f>+DropINTable!AM75</f>
        <v>1228.0879815845185</v>
      </c>
      <c r="AN56" s="46">
        <f>+DropINTable!AN75</f>
        <v>1383.6189151541621</v>
      </c>
      <c r="AO56" s="46">
        <f>+DropINTable!AO75</f>
        <v>1420.6902741381164</v>
      </c>
      <c r="AP56" s="46"/>
      <c r="AQ56" s="46"/>
      <c r="AR56" s="46"/>
    </row>
    <row r="57" spans="2:44" x14ac:dyDescent="0.2">
      <c r="K57" s="379"/>
      <c r="AA57" t="s">
        <v>1185</v>
      </c>
      <c r="AB57" s="46">
        <f>IF(DropINTable!AB76-DropINTable!AB75&lt;0,0,+DropINTable!AB76-DropINTable!AB75)</f>
        <v>0</v>
      </c>
      <c r="AC57" s="46">
        <f>IF(DropINTable!AC76-DropINTable!AC75&lt;0,0,+DropINTable!AC76-DropINTable!AC75)</f>
        <v>0</v>
      </c>
      <c r="AD57" s="46">
        <f>IF(DropINTable!AD76-DropINTable!AD75&lt;0,0,+DropINTable!AD76-DropINTable!AD75)</f>
        <v>94.691102081526424</v>
      </c>
      <c r="AE57" s="46">
        <f>IF(DropINTable!AE76-DropINTable!AE75&lt;0,0,+DropINTable!AE76-DropINTable!AE75)</f>
        <v>94.668389051144345</v>
      </c>
      <c r="AF57" s="46">
        <f>IF(DropINTable!AF76-DropINTable!AF75&lt;0,0,+DropINTable!AF76-DropINTable!AF75)</f>
        <v>94.627091167594585</v>
      </c>
      <c r="AG57" s="46">
        <f>IF(DropINTable!AG76-DropINTable!AG75&lt;0,0,+DropINTable!AG76-DropINTable!AG75)</f>
        <v>94.570060146666719</v>
      </c>
      <c r="AH57" s="46">
        <f>IF(DropINTable!AH76-DropINTable!AH75&lt;0,0,+DropINTable!AH76-DropINTable!AH75)</f>
        <v>94.487230597781945</v>
      </c>
      <c r="AI57" s="46">
        <f>IF(DropINTable!AI76-DropINTable!AI75&lt;0,0,+DropINTable!AI76-DropINTable!AI75)</f>
        <v>94.416922018457285</v>
      </c>
      <c r="AJ57" s="46">
        <f>IF(DropINTable!AJ76-DropINTable!AJ75&lt;0,0,+DropINTable!AJ76-DropINTable!AJ75)</f>
        <v>94.332450692928433</v>
      </c>
      <c r="AK57" s="46">
        <f>IF(DropINTable!AK76-DropINTable!AK75&lt;0,0,+DropINTable!AK76-DropINTable!AK75)</f>
        <v>94.287731721974069</v>
      </c>
      <c r="AL57" s="46">
        <f>IF(DropINTable!AL76-DropINTable!AL75&lt;0,0,+DropINTable!AL76-DropINTable!AL75)</f>
        <v>94.235446337031362</v>
      </c>
      <c r="AM57" s="46">
        <f>IF(DropINTable!AM76-DropINTable!AM75&lt;0,0,+DropINTable!AM76-DropINTable!AM75)</f>
        <v>94.110592174328076</v>
      </c>
      <c r="AN57" s="46">
        <f>IF(DropINTable!AN76-DropINTable!AN75&lt;0,0,+DropINTable!AN76-DropINTable!AN75)</f>
        <v>93.963002488948405</v>
      </c>
      <c r="AO57" s="46">
        <f>IF(DropINTable!AO76-DropINTable!AO75&lt;0,0,+DropINTable!AO76-DropINTable!AO75)</f>
        <v>93.927820626819084</v>
      </c>
      <c r="AP57" s="46"/>
      <c r="AQ57" s="46"/>
      <c r="AR57" s="46"/>
    </row>
    <row r="58" spans="2:44" x14ac:dyDescent="0.2">
      <c r="K58" s="379"/>
      <c r="AB58" s="46"/>
      <c r="AC58" s="46"/>
      <c r="AD58" s="46"/>
      <c r="AE58" s="46"/>
      <c r="AF58" s="46"/>
      <c r="AG58" s="46"/>
      <c r="AH58" s="46"/>
      <c r="AI58" s="46"/>
      <c r="AJ58" s="46"/>
      <c r="AK58" s="46"/>
      <c r="AL58" s="46"/>
      <c r="AM58" s="46"/>
      <c r="AN58" s="46"/>
      <c r="AO58" s="46"/>
      <c r="AP58" s="46"/>
      <c r="AQ58" s="46"/>
      <c r="AR58" s="46"/>
    </row>
    <row r="59" spans="2:44" ht="15" x14ac:dyDescent="0.25">
      <c r="J59" s="371"/>
      <c r="K59" s="371"/>
      <c r="AA59" t="s">
        <v>1096</v>
      </c>
      <c r="AB59" s="46">
        <f>+DropINTable!AB80</f>
        <v>296.62314157242787</v>
      </c>
      <c r="AC59" s="46">
        <f>+DropINTable!AC80</f>
        <v>313.76439699866313</v>
      </c>
      <c r="AD59" s="46">
        <f>+DropINTable!AD80</f>
        <v>329.91272142758856</v>
      </c>
      <c r="AE59" s="46">
        <f>+DropINTable!AE80</f>
        <v>353.61650415831053</v>
      </c>
      <c r="AF59" s="46">
        <f>+DropINTable!AF80</f>
        <v>396.71728467431922</v>
      </c>
      <c r="AG59" s="46">
        <f>+DropINTable!AG80</f>
        <v>456.2407982634503</v>
      </c>
      <c r="AH59" s="46">
        <f>+DropINTable!AH80</f>
        <v>542.68888900934485</v>
      </c>
      <c r="AI59" s="46">
        <f>+DropINTable!AI80</f>
        <v>616.06758603444848</v>
      </c>
      <c r="AJ59" s="46">
        <f>+DropINTable!AJ80</f>
        <v>704.2256857467828</v>
      </c>
      <c r="AK59" s="46">
        <f>+DropINTable!AK80</f>
        <v>750.89954454151552</v>
      </c>
      <c r="AL59" s="46">
        <f>+DropINTable!AL80</f>
        <v>805.4652463850515</v>
      </c>
      <c r="AM59" s="46">
        <f>+DropINTable!AM80</f>
        <v>935.7756716848246</v>
      </c>
      <c r="AN59" s="46">
        <f>+DropINTable!AN80</f>
        <v>1089.811121780217</v>
      </c>
      <c r="AO59" s="46">
        <f>+DropINTable!AO80</f>
        <v>1126.5260261830963</v>
      </c>
      <c r="AP59" s="46"/>
      <c r="AQ59" s="46"/>
      <c r="AR59" s="46"/>
    </row>
    <row r="60" spans="2:44" x14ac:dyDescent="0.2">
      <c r="AA60" t="s">
        <v>1185</v>
      </c>
      <c r="AB60" s="46">
        <f>IF(DropINTable!AB81-DropINTable!AB80&lt;0,0,+DropINTable!AB81-DropINTable!AB80)</f>
        <v>0</v>
      </c>
      <c r="AC60" s="46">
        <f>IF(DropINTable!AC81-DropINTable!AC80&lt;0,0,+DropINTable!AC81-DropINTable!AC80)</f>
        <v>99.702929606705368</v>
      </c>
      <c r="AD60" s="46">
        <f>IF(DropINTable!AD81-DropINTable!AD80&lt;0,0,+DropINTable!AD81-DropINTable!AD80)</f>
        <v>99.602393507210309</v>
      </c>
      <c r="AE60" s="46">
        <f>IF(DropINTable!AE81-DropINTable!AE80&lt;0,0,+DropINTable!AE81-DropINTable!AE80)</f>
        <v>99.454818761658828</v>
      </c>
      <c r="AF60" s="46">
        <f>IF(DropINTable!AF81-DropINTable!AF80&lt;0,0,+DropINTable!AF81-DropINTable!AF80)</f>
        <v>99.186484740925721</v>
      </c>
      <c r="AG60" s="46">
        <f>IF(DropINTable!AG81-DropINTable!AG80&lt;0,0,+DropINTable!AG81-DropINTable!AG80)</f>
        <v>98.815905960916893</v>
      </c>
      <c r="AH60" s="46">
        <f>IF(DropINTable!AH81-DropINTable!AH80&lt;0,0,+DropINTable!AH81-DropINTable!AH80)</f>
        <v>98.277698821654553</v>
      </c>
      <c r="AI60" s="46">
        <f>IF(DropINTable!AI81-DropINTable!AI80&lt;0,0,+DropINTable!AI81-DropINTable!AI80)</f>
        <v>97.820860649186329</v>
      </c>
      <c r="AJ60" s="46">
        <f>IF(DropINTable!AJ81-DropINTable!AJ80&lt;0,0,+DropINTable!AJ81-DropINTable!AJ80)</f>
        <v>97.27201111069337</v>
      </c>
      <c r="AK60" s="46">
        <f>IF(DropINTable!AK81-DropINTable!AK80&lt;0,0,+DropINTable!AK81-DropINTable!AK80)</f>
        <v>96.981429708947758</v>
      </c>
      <c r="AL60" s="46">
        <f>IF(DropINTable!AL81-DropINTable!AL80&lt;0,0,+DropINTable!AL81-DropINTable!AL80)</f>
        <v>96.641715224269205</v>
      </c>
      <c r="AM60" s="46">
        <f>IF(DropINTable!AM81-DropINTable!AM80&lt;0,0,+DropINTable!AM81-DropINTable!AM80)</f>
        <v>95.830436224669484</v>
      </c>
      <c r="AN60" s="46">
        <f>IF(DropINTable!AN81-DropINTable!AN80&lt;0,0,+DropINTable!AN81-DropINTable!AN80)</f>
        <v>94.871447847049012</v>
      </c>
      <c r="AO60" s="46">
        <f>IF(DropINTable!AO81-DropINTable!AO80&lt;0,0,+DropINTable!AO81-DropINTable!AO80)</f>
        <v>94.642872204704645</v>
      </c>
      <c r="AP60" s="46"/>
      <c r="AQ60" s="46"/>
      <c r="AR60" s="46"/>
    </row>
    <row r="61" spans="2:44" x14ac:dyDescent="0.2">
      <c r="AP61" s="46"/>
      <c r="AQ61" s="46"/>
      <c r="AR61" s="46"/>
    </row>
    <row r="62" spans="2:44" x14ac:dyDescent="0.2">
      <c r="AP62" s="46"/>
      <c r="AQ62" s="46"/>
      <c r="AR62" s="46"/>
    </row>
    <row r="63" spans="2:44" ht="28.5" x14ac:dyDescent="0.45">
      <c r="AA63" s="368" t="s">
        <v>237</v>
      </c>
      <c r="AB63" s="46"/>
      <c r="AC63" s="46"/>
      <c r="AD63" s="46"/>
      <c r="AE63" s="46"/>
      <c r="AF63" s="46"/>
      <c r="AG63" s="46"/>
      <c r="AH63" s="46"/>
      <c r="AI63" s="46"/>
      <c r="AJ63" s="46"/>
      <c r="AK63" s="46"/>
      <c r="AL63" s="46"/>
      <c r="AM63" s="46"/>
      <c r="AN63" s="46"/>
      <c r="AO63" s="46"/>
      <c r="AP63" s="46"/>
      <c r="AQ63" s="46"/>
      <c r="AR63" s="46"/>
    </row>
    <row r="64" spans="2:44" x14ac:dyDescent="0.2">
      <c r="AA64" t="s">
        <v>1085</v>
      </c>
      <c r="AB64" s="46">
        <f>+DropINTable!AB87</f>
        <v>0</v>
      </c>
      <c r="AC64" s="46">
        <f>+DropINTable!AC87</f>
        <v>666.44378721898829</v>
      </c>
      <c r="AD64" s="46">
        <f>+DropINTable!AD87</f>
        <v>682.74889105014927</v>
      </c>
      <c r="AE64" s="46">
        <f>+DropINTable!AE87</f>
        <v>706.68280581750162</v>
      </c>
      <c r="AF64" s="46">
        <f>+DropINTable!AF87</f>
        <v>750.20203857648255</v>
      </c>
      <c r="AG64" s="46">
        <f>+DropINTable!AG87</f>
        <v>810.30344877596292</v>
      </c>
      <c r="AH64" s="46">
        <f>+DropINTable!AH87</f>
        <v>897.59083710052892</v>
      </c>
      <c r="AI64" s="46">
        <f>+DropINTable!AI87</f>
        <v>971.68194553573358</v>
      </c>
      <c r="AJ64" s="46">
        <f>+DropINTable!AJ87</f>
        <v>1060.6959472153944</v>
      </c>
      <c r="AK64" s="46">
        <f>+DropINTable!AK87</f>
        <v>1107.8229463238663</v>
      </c>
      <c r="AL64" s="46">
        <f>+DropINTable!AL87</f>
        <v>1162.9184115099317</v>
      </c>
      <c r="AM64" s="46">
        <f>+DropINTable!AM87</f>
        <v>1294.4939795800444</v>
      </c>
      <c r="AN64" s="46">
        <f>+DropINTable!AN87</f>
        <v>1450.0249130642978</v>
      </c>
      <c r="AO64" s="46">
        <f>+DropINTable!AO87</f>
        <v>1487.0962743172024</v>
      </c>
      <c r="AP64" s="46"/>
      <c r="AQ64" s="46"/>
      <c r="AR64" s="46"/>
    </row>
    <row r="65" spans="27:44" x14ac:dyDescent="0.2">
      <c r="AA65" t="s">
        <v>1185</v>
      </c>
      <c r="AB65" s="46">
        <f>IF(DropINTable!AB88-DropINTable!AB87&lt;0,0,+DropINTable!AB88-DropINTable!AB87)</f>
        <v>0</v>
      </c>
      <c r="AC65" s="46">
        <f>IF(DropINTable!AC88-DropINTable!AC87&lt;0,0,+DropINTable!AC88-DropINTable!AC87)</f>
        <v>0</v>
      </c>
      <c r="AD65" s="46">
        <f>IF(DropINTable!AD88-DropINTable!AD87&lt;0,0,+DropINTable!AD88-DropINTable!AD87)</f>
        <v>94.628084932208822</v>
      </c>
      <c r="AE65" s="46">
        <f>IF(DropINTable!AE88-DropINTable!AE87&lt;0,0,+DropINTable!AE88-DropINTable!AE87)</f>
        <v>94.60537446906892</v>
      </c>
      <c r="AF65" s="46">
        <f>IF(DropINTable!AF88-DropINTable!AF87&lt;0,0,+DropINTable!AF88-DropINTable!AF87)</f>
        <v>94.564077464427214</v>
      </c>
      <c r="AG65" s="46">
        <f>IF(DropINTable!AG88-DropINTable!AG87&lt;0,0,+DropINTable!AG88-DropINTable!AG87)</f>
        <v>94.50704316402846</v>
      </c>
      <c r="AH65" s="46">
        <f>IF(DropINTable!AH88-DropINTable!AH87&lt;0,0,+DropINTable!AH88-DropINTable!AH87)</f>
        <v>94.424214495218962</v>
      </c>
      <c r="AI65" s="46">
        <f>IF(DropINTable!AI88-DropINTable!AI87&lt;0,0,+DropINTable!AI88-DropINTable!AI87)</f>
        <v>94.353904064049857</v>
      </c>
      <c r="AJ65" s="46">
        <f>IF(DropINTable!AJ88-DropINTable!AJ87&lt;0,0,+DropINTable!AJ88-DropINTable!AJ87)</f>
        <v>94.269436419175236</v>
      </c>
      <c r="AK65" s="46">
        <f>IF(DropINTable!AK88-DropINTable!AK87&lt;0,0,+DropINTable!AK88-DropINTable!AK87)</f>
        <v>94.224712800090856</v>
      </c>
      <c r="AL65" s="46">
        <f>IF(DropINTable!AL88-DropINTable!AL87&lt;0,0,+DropINTable!AL88-DropINTable!AL87)</f>
        <v>94.172430400359644</v>
      </c>
      <c r="AM65" s="46">
        <f>IF(DropINTable!AM88-DropINTable!AM87&lt;0,0,+DropINTable!AM88-DropINTable!AM87)</f>
        <v>94.047573458459055</v>
      </c>
      <c r="AN65" s="46">
        <f>IF(DropINTable!AN88-DropINTable!AN87&lt;0,0,+DropINTable!AN88-DropINTable!AN87)</f>
        <v>93.899983097893255</v>
      </c>
      <c r="AO65" s="46">
        <f>IF(DropINTable!AO88-DropINTable!AO87&lt;0,0,+DropINTable!AO88-DropINTable!AO87)</f>
        <v>93.864804290845314</v>
      </c>
      <c r="AP65" s="46"/>
      <c r="AQ65" s="46"/>
      <c r="AR65" s="46"/>
    </row>
    <row r="66" spans="27:44" x14ac:dyDescent="0.2">
      <c r="AB66" s="46"/>
      <c r="AC66" s="46"/>
      <c r="AD66" s="46"/>
      <c r="AE66" s="46"/>
      <c r="AF66" s="46"/>
      <c r="AG66" s="46"/>
      <c r="AH66" s="46"/>
      <c r="AI66" s="46"/>
      <c r="AJ66" s="46"/>
      <c r="AK66" s="46"/>
      <c r="AL66" s="46"/>
      <c r="AM66" s="46"/>
      <c r="AN66" s="46"/>
      <c r="AO66" s="46"/>
      <c r="AP66" s="46"/>
      <c r="AQ66" s="46"/>
      <c r="AR66" s="46"/>
    </row>
    <row r="67" spans="27:44" x14ac:dyDescent="0.2">
      <c r="AA67" t="s">
        <v>1096</v>
      </c>
      <c r="AB67" s="46">
        <f>+DropINTable!AB92</f>
        <v>362.39062370183848</v>
      </c>
      <c r="AC67" s="46">
        <f>+DropINTable!AC92</f>
        <v>379.53187881489634</v>
      </c>
      <c r="AD67" s="46">
        <f>+DropINTable!AD92</f>
        <v>395.68020395448639</v>
      </c>
      <c r="AE67" s="46">
        <f>+DropINTable!AE92</f>
        <v>419.38398558328845</v>
      </c>
      <c r="AF67" s="46">
        <f>+DropINTable!AF92</f>
        <v>462.48476620640503</v>
      </c>
      <c r="AG67" s="46">
        <f>+DropINTable!AG92</f>
        <v>522.00828079659948</v>
      </c>
      <c r="AH67" s="46">
        <f>+DropINTable!AH92</f>
        <v>608.45637098736643</v>
      </c>
      <c r="AI67" s="46">
        <f>+DropINTable!AI92</f>
        <v>681.83506721562037</v>
      </c>
      <c r="AJ67" s="46">
        <f>+DropINTable!AJ92</f>
        <v>769.99316838162213</v>
      </c>
      <c r="AK67" s="46">
        <f>+DropINTable!AK92</f>
        <v>816.66702629615247</v>
      </c>
      <c r="AL67" s="46">
        <f>+DropINTable!AL92</f>
        <v>871.2327287798355</v>
      </c>
      <c r="AM67" s="46">
        <f>+DropINTable!AM92</f>
        <v>1001.5431535394843</v>
      </c>
      <c r="AN67" s="46">
        <f>+DropINTable!AN92</f>
        <v>1155.5786033614806</v>
      </c>
      <c r="AO67" s="46">
        <f>+DropINTable!AO92</f>
        <v>1192.2935080577608</v>
      </c>
      <c r="AP67" s="46"/>
      <c r="AQ67" s="46"/>
      <c r="AR67" s="46"/>
    </row>
    <row r="68" spans="27:44" x14ac:dyDescent="0.2">
      <c r="AA68" t="s">
        <v>1185</v>
      </c>
      <c r="AB68" s="46">
        <f>IF(DropINTable!AB93-DropINTable!AB92&lt;0,0,+DropINTable!AB93-DropINTable!AB92)</f>
        <v>0</v>
      </c>
      <c r="AC68" s="46">
        <f>IF(DropINTable!AC93-DropINTable!AC92&lt;0,0,+DropINTable!AC93-DropINTable!AC92)</f>
        <v>99.293477242770223</v>
      </c>
      <c r="AD68" s="46">
        <f>IF(DropINTable!AD93-DropINTable!AD92&lt;0,0,+DropINTable!AD93-DropINTable!AD92)</f>
        <v>99.192941263026057</v>
      </c>
      <c r="AE68" s="46">
        <f>IF(DropINTable!AE93-DropINTable!AE92&lt;0,0,+DropINTable!AE93-DropINTable!AE92)</f>
        <v>99.045367756978067</v>
      </c>
      <c r="AF68" s="46">
        <f>IF(DropINTable!AF93-DropINTable!AF92&lt;0,0,+DropINTable!AF93-DropINTable!AF92)</f>
        <v>98.777032567777667</v>
      </c>
      <c r="AG68" s="46">
        <f>IF(DropINTable!AG93-DropINTable!AG92&lt;0,0,+DropINTable!AG93-DropINTable!AG92)</f>
        <v>98.40645276705061</v>
      </c>
      <c r="AH68" s="46">
        <f>IF(DropINTable!AH93-DropINTable!AH92&lt;0,0,+DropINTable!AH93-DropINTable!AH92)</f>
        <v>97.868246615321482</v>
      </c>
      <c r="AI68" s="46">
        <f>IF(DropINTable!AI93-DropINTable!AI92&lt;0,0,+DropINTable!AI93-DropINTable!AI92)</f>
        <v>97.411409750728012</v>
      </c>
      <c r="AJ68" s="46">
        <f>IF(DropINTable!AJ93-DropINTable!AJ92&lt;0,0,+DropINTable!AJ93-DropINTable!AJ92)</f>
        <v>96.862558404781112</v>
      </c>
      <c r="AK68" s="46">
        <f>IF(DropINTable!AK93-DropINTable!AK92&lt;0,0,+DropINTable!AK93-DropINTable!AK92)</f>
        <v>96.571974817088176</v>
      </c>
      <c r="AL68" s="46">
        <f>IF(DropINTable!AL93-DropINTable!AL92&lt;0,0,+DropINTable!AL93-DropINTable!AL92)</f>
        <v>96.232264959750296</v>
      </c>
      <c r="AM68" s="46">
        <f>IF(DropINTable!AM93-DropINTable!AM92&lt;0,0,+DropINTable!AM93-DropINTable!AM92)</f>
        <v>95.420982412075887</v>
      </c>
      <c r="AN68" s="46">
        <f>IF(DropINTable!AN93-DropINTable!AN92&lt;0,0,+DropINTable!AN93-DropINTable!AN92)</f>
        <v>94.461996745047145</v>
      </c>
      <c r="AO68" s="46">
        <f>IF(DropINTable!AO93-DropINTable!AO92&lt;0,0,+DropINTable!AO93-DropINTable!AO92)</f>
        <v>94.233417192817342</v>
      </c>
      <c r="AP68" s="46"/>
      <c r="AQ68" s="46"/>
      <c r="AR68" s="46"/>
    </row>
    <row r="69" spans="27:44" x14ac:dyDescent="0.2">
      <c r="AB69" s="46"/>
      <c r="AC69" s="46"/>
      <c r="AD69" s="46"/>
      <c r="AE69" s="46"/>
      <c r="AF69" s="46"/>
      <c r="AG69" s="46"/>
      <c r="AH69" s="46"/>
      <c r="AI69" s="46"/>
      <c r="AJ69" s="46"/>
      <c r="AK69" s="46"/>
      <c r="AL69" s="46"/>
      <c r="AM69" s="46"/>
      <c r="AN69" s="46"/>
      <c r="AO69" s="46"/>
      <c r="AP69" s="46"/>
      <c r="AQ69" s="46"/>
      <c r="AR69" s="46"/>
    </row>
    <row r="70" spans="27:44" x14ac:dyDescent="0.2">
      <c r="AB70" s="46"/>
      <c r="AC70" s="46"/>
      <c r="AD70" s="46"/>
      <c r="AE70" s="46"/>
      <c r="AF70" s="46"/>
      <c r="AG70" s="46"/>
      <c r="AH70" s="46"/>
      <c r="AI70" s="46"/>
      <c r="AJ70" s="46"/>
      <c r="AK70" s="46"/>
      <c r="AL70" s="46"/>
      <c r="AM70" s="46"/>
      <c r="AN70" s="46"/>
      <c r="AO70" s="46"/>
      <c r="AP70" s="46"/>
      <c r="AQ70" s="46"/>
      <c r="AR70" s="46"/>
    </row>
    <row r="71" spans="27:44" ht="28.5" x14ac:dyDescent="0.45">
      <c r="AA71" s="368" t="s">
        <v>233</v>
      </c>
      <c r="AB71" s="46"/>
      <c r="AC71" s="46"/>
      <c r="AD71" s="46"/>
      <c r="AE71" s="46"/>
      <c r="AF71" s="46"/>
      <c r="AG71" s="46"/>
      <c r="AH71" s="46"/>
      <c r="AI71" s="46"/>
      <c r="AJ71" s="46"/>
      <c r="AK71" s="46"/>
      <c r="AL71" s="46"/>
      <c r="AM71" s="46"/>
      <c r="AN71" s="46"/>
      <c r="AO71" s="46"/>
      <c r="AP71" s="46"/>
      <c r="AQ71" s="46"/>
      <c r="AR71" s="46"/>
    </row>
    <row r="72" spans="27:44" x14ac:dyDescent="0.2">
      <c r="AA72" t="s">
        <v>1085</v>
      </c>
      <c r="AB72" s="46">
        <f>+DropINTable!AB99</f>
        <v>0</v>
      </c>
      <c r="AC72" s="46">
        <f>+DropINTable!AC99</f>
        <v>644.55408539419193</v>
      </c>
      <c r="AD72" s="46">
        <f>+DropINTable!AD99</f>
        <v>660.85918883575812</v>
      </c>
      <c r="AE72" s="46">
        <f>+DropINTable!AE99</f>
        <v>684.79310448141393</v>
      </c>
      <c r="AF72" s="46">
        <f>+DropINTable!AF99</f>
        <v>728.31233739135325</v>
      </c>
      <c r="AG72" s="46">
        <f>+DropINTable!AG99</f>
        <v>788.41374709983768</v>
      </c>
      <c r="AH72" s="46">
        <f>+DropINTable!AH99</f>
        <v>875.70113527192029</v>
      </c>
      <c r="AI72" s="46">
        <f>+DropINTable!AI99</f>
        <v>949.79224405783657</v>
      </c>
      <c r="AJ72" s="46">
        <f>+DropINTable!AJ99</f>
        <v>1038.8062453898356</v>
      </c>
      <c r="AK72" s="46">
        <f>+DropINTable!AK99</f>
        <v>1085.9332449252606</v>
      </c>
      <c r="AL72" s="46">
        <f>+DropINTable!AL99</f>
        <v>1141.0287095501876</v>
      </c>
      <c r="AM72" s="46">
        <f>+DropINTable!AM99</f>
        <v>1272.6042783156238</v>
      </c>
      <c r="AN72" s="46">
        <f>+DropINTable!AN99</f>
        <v>1428.1352116900894</v>
      </c>
      <c r="AO72" s="46">
        <f>+DropINTable!AO99</f>
        <v>1465.2065713083739</v>
      </c>
      <c r="AP72" s="46"/>
      <c r="AQ72" s="46"/>
    </row>
    <row r="73" spans="27:44" x14ac:dyDescent="0.2">
      <c r="AA73" t="s">
        <v>1185</v>
      </c>
      <c r="AB73" s="46">
        <f>IF(DropINTable!AB100-DropINTable!AB99&lt;0,0,+DropINTable!AB100-DropINTable!AB99)</f>
        <v>0</v>
      </c>
      <c r="AC73" s="46">
        <f>IF(DropINTable!AC100-DropINTable!AC99&lt;0,0,+DropINTable!AC100-DropINTable!AC99)</f>
        <v>0</v>
      </c>
      <c r="AD73" s="46">
        <f>IF(DropINTable!AD100-DropINTable!AD99&lt;0,0,+DropINTable!AD100-DropINTable!AD99)</f>
        <v>94.648859724792828</v>
      </c>
      <c r="AE73" s="46">
        <f>IF(DropINTable!AE100-DropINTable!AE99&lt;0,0,+DropINTable!AE100-DropINTable!AE99)</f>
        <v>94.626144953444395</v>
      </c>
      <c r="AF73" s="46">
        <f>IF(DropINTable!AF100-DropINTable!AF99&lt;0,0,+DropINTable!AF100-DropINTable!AF99)</f>
        <v>94.58484788560304</v>
      </c>
      <c r="AG73" s="46">
        <f>IF(DropINTable!AG100-DropINTable!AG99&lt;0,0,+DropINTable!AG100-DropINTable!AG99)</f>
        <v>94.527817396406931</v>
      </c>
      <c r="AH73" s="46">
        <f>IF(DropINTable!AH100-DropINTable!AH99&lt;0,0,+DropINTable!AH100-DropINTable!AH99)</f>
        <v>94.444986715364507</v>
      </c>
      <c r="AI73" s="46">
        <f>IF(DropINTable!AI100-DropINTable!AI99&lt;0,0,+DropINTable!AI100-DropINTable!AI99)</f>
        <v>94.374678580873024</v>
      </c>
      <c r="AJ73" s="46">
        <f>IF(DropINTable!AJ100-DropINTable!AJ99&lt;0,0,+DropINTable!AJ100-DropINTable!AJ99)</f>
        <v>94.290206427675457</v>
      </c>
      <c r="AK73" s="46">
        <f>IF(DropINTable!AK100-DropINTable!AK99&lt;0,0,+DropINTable!AK100-DropINTable!AK99)</f>
        <v>94.245489811879679</v>
      </c>
      <c r="AL73" s="46">
        <f>IF(DropINTable!AL100-DropINTable!AL99&lt;0,0,+DropINTable!AL100-DropINTable!AL99)</f>
        <v>94.193203819372229</v>
      </c>
      <c r="AM73" s="46">
        <f>IF(DropINTable!AM100-DropINTable!AM99&lt;0,0,+DropINTable!AM100-DropINTable!AM99)</f>
        <v>94.068349838763424</v>
      </c>
      <c r="AN73" s="46">
        <f>IF(DropINTable!AN100-DropINTable!AN99&lt;0,0,+DropINTable!AN100-DropINTable!AN99)</f>
        <v>93.920759822008904</v>
      </c>
      <c r="AO73" s="46">
        <f>IF(DropINTable!AO100-DropINTable!AO99&lt;0,0,+DropINTable!AO100-DropINTable!AO99)</f>
        <v>93.885577033020581</v>
      </c>
      <c r="AP73" s="46"/>
      <c r="AQ73" s="46"/>
      <c r="AR73" s="46"/>
    </row>
    <row r="74" spans="27:44" x14ac:dyDescent="0.2">
      <c r="AB74" s="46"/>
      <c r="AC74" s="46"/>
      <c r="AD74" s="46"/>
      <c r="AE74" s="46"/>
      <c r="AF74" s="46"/>
      <c r="AG74" s="46"/>
      <c r="AH74" s="46"/>
      <c r="AI74" s="46"/>
      <c r="AJ74" s="46"/>
      <c r="AK74" s="46"/>
      <c r="AL74" s="46"/>
      <c r="AM74" s="46"/>
      <c r="AN74" s="46"/>
      <c r="AO74" s="46"/>
      <c r="AP74" s="46"/>
      <c r="AQ74" s="46"/>
      <c r="AR74" s="46"/>
    </row>
    <row r="75" spans="27:44" x14ac:dyDescent="0.2">
      <c r="AA75" t="s">
        <v>1096</v>
      </c>
      <c r="AB75" s="46">
        <f>+DropINTable!AB104</f>
        <v>340.71139897374519</v>
      </c>
      <c r="AC75" s="46">
        <f>+DropINTable!AC104</f>
        <v>357.85265373618205</v>
      </c>
      <c r="AD75" s="46">
        <f>+DropINTable!AD104</f>
        <v>374.00097903106825</v>
      </c>
      <c r="AE75" s="46">
        <f>+DropINTable!AE104</f>
        <v>397.70476160362881</v>
      </c>
      <c r="AF75" s="46">
        <f>+DropINTable!AF104</f>
        <v>440.80554199085782</v>
      </c>
      <c r="AG75" s="46">
        <f>+DropINTable!AG104</f>
        <v>500.32905599758499</v>
      </c>
      <c r="AH75" s="46">
        <f>+DropINTable!AH104</f>
        <v>586.77714594996382</v>
      </c>
      <c r="AI75" s="46">
        <f>+DropINTable!AI104</f>
        <v>660.15584357853959</v>
      </c>
      <c r="AJ75" s="46">
        <f>+DropINTable!AJ104</f>
        <v>748.31394342423778</v>
      </c>
      <c r="AK75" s="46">
        <f>+DropINTable!AK104</f>
        <v>794.98780172552381</v>
      </c>
      <c r="AL75" s="46">
        <f>+DropINTable!AL104</f>
        <v>849.55350456928954</v>
      </c>
      <c r="AM75" s="46">
        <f>+DropINTable!AM104</f>
        <v>979.86392926892472</v>
      </c>
      <c r="AN75" s="46">
        <f>+DropINTable!AN104</f>
        <v>1133.8993790842528</v>
      </c>
      <c r="AO75" s="46">
        <f>+DropINTable!AO104</f>
        <v>1170.6142847140807</v>
      </c>
      <c r="AP75" s="46"/>
      <c r="AQ75" s="46"/>
      <c r="AR75" s="46"/>
    </row>
    <row r="76" spans="27:44" x14ac:dyDescent="0.2">
      <c r="AA76" t="s">
        <v>1185</v>
      </c>
      <c r="AB76" s="46">
        <f>IF(DropINTable!AB105-DropINTable!AB104&lt;0,0,+DropINTable!AB105-DropINTable!AB104)</f>
        <v>0</v>
      </c>
      <c r="AC76" s="46">
        <f>IF(DropINTable!AC105-DropINTable!AC104&lt;0,0,+DropINTable!AC105-DropINTable!AC104)</f>
        <v>99.428446732134717</v>
      </c>
      <c r="AD76" s="46">
        <f>IF(DropINTable!AD105-DropINTable!AD104&lt;0,0,+DropINTable!AD105-DropINTable!AD104)</f>
        <v>99.327911088464532</v>
      </c>
      <c r="AE76" s="46">
        <f>IF(DropINTable!AE105-DropINTable!AE104&lt;0,0,+DropINTable!AE105-DropINTable!AE104)</f>
        <v>99.180337090718751</v>
      </c>
      <c r="AF76" s="46">
        <f>IF(DropINTable!AF105-DropINTable!AF104&lt;0,0,+DropINTable!AF105-DropINTable!AF104)</f>
        <v>98.912001744309691</v>
      </c>
      <c r="AG76" s="46">
        <f>IF(DropINTable!AG105-DropINTable!AG104&lt;0,0,+DropINTable!AG105-DropINTable!AG104)</f>
        <v>98.541423116694091</v>
      </c>
      <c r="AH76" s="46">
        <f>IF(DropINTable!AH105-DropINTable!AH104&lt;0,0,+DropINTable!AH105-DropINTable!AH104)</f>
        <v>98.003216574399289</v>
      </c>
      <c r="AI76" s="46">
        <f>IF(DropINTable!AI105-DropINTable!AI104&lt;0,0,+DropINTable!AI105-DropINTable!AI104)</f>
        <v>97.5463782701745</v>
      </c>
      <c r="AJ76" s="46">
        <f>IF(DropINTable!AJ105-DropINTable!AJ104&lt;0,0,+DropINTable!AJ105-DropINTable!AJ104)</f>
        <v>96.997527301100376</v>
      </c>
      <c r="AK76" s="46">
        <f>IF(DropINTable!AK105-DropINTable!AK104&lt;0,0,+DropINTable!AK105-DropINTable!AK104)</f>
        <v>96.706949380331707</v>
      </c>
      <c r="AL76" s="46">
        <f>IF(DropINTable!AL105-DropINTable!AL104&lt;0,0,+DropINTable!AL105-DropINTable!AL104)</f>
        <v>96.367231772704486</v>
      </c>
      <c r="AM76" s="46">
        <f>IF(DropINTable!AM105-DropINTable!AM104&lt;0,0,+DropINTable!AM105-DropINTable!AM104)</f>
        <v>95.555954473912152</v>
      </c>
      <c r="AN76" s="46">
        <f>IF(DropINTable!AN105-DropINTable!AN104&lt;0,0,+DropINTable!AN105-DropINTable!AN104)</f>
        <v>94.596966848071133</v>
      </c>
      <c r="AO76" s="46">
        <f>IF(DropINTable!AO105-DropINTable!AO104&lt;0,0,+DropINTable!AO105-DropINTable!AO104)</f>
        <v>94.368386047816784</v>
      </c>
      <c r="AP76" s="46"/>
      <c r="AQ76" s="46"/>
      <c r="AR76" s="46"/>
    </row>
    <row r="77" spans="27:44" x14ac:dyDescent="0.2">
      <c r="AB77" s="46"/>
      <c r="AC77" s="46"/>
      <c r="AD77" s="46"/>
      <c r="AE77" s="46"/>
      <c r="AF77" s="46"/>
      <c r="AG77" s="46"/>
      <c r="AH77" s="46"/>
      <c r="AI77" s="46"/>
      <c r="AJ77" s="46"/>
      <c r="AK77" s="46"/>
      <c r="AL77" s="46"/>
      <c r="AM77" s="46"/>
      <c r="AN77" s="46"/>
      <c r="AO77" s="46"/>
      <c r="AP77" s="46"/>
      <c r="AQ77" s="46"/>
      <c r="AR77" s="46"/>
    </row>
    <row r="78" spans="27:44" x14ac:dyDescent="0.2">
      <c r="AB78" s="46"/>
      <c r="AC78" s="46"/>
      <c r="AD78" s="46"/>
      <c r="AE78" s="46"/>
      <c r="AF78" s="46"/>
      <c r="AG78" s="46"/>
      <c r="AH78" s="46"/>
      <c r="AI78" s="46"/>
      <c r="AJ78" s="46"/>
      <c r="AK78" s="46"/>
      <c r="AL78" s="46"/>
      <c r="AM78" s="46"/>
      <c r="AN78" s="46"/>
      <c r="AO78" s="46"/>
      <c r="AP78" s="46"/>
      <c r="AQ78" s="46"/>
      <c r="AR78" s="46"/>
    </row>
    <row r="79" spans="27:44" ht="28.5" x14ac:dyDescent="0.45">
      <c r="AA79" s="368" t="s">
        <v>240</v>
      </c>
      <c r="AB79" s="46"/>
      <c r="AC79" s="46"/>
      <c r="AD79" s="46"/>
      <c r="AE79" s="46"/>
      <c r="AF79" s="46"/>
      <c r="AG79" s="46"/>
      <c r="AH79" s="46"/>
      <c r="AI79" s="46"/>
      <c r="AJ79" s="46"/>
      <c r="AK79" s="46"/>
      <c r="AL79" s="46"/>
      <c r="AM79" s="46"/>
      <c r="AN79" s="46"/>
      <c r="AO79" s="46"/>
      <c r="AP79" s="46"/>
      <c r="AQ79" s="46"/>
      <c r="AR79" s="46"/>
    </row>
    <row r="80" spans="27:44" x14ac:dyDescent="0.2">
      <c r="AA80" t="s">
        <v>1085</v>
      </c>
      <c r="AB80" s="46">
        <f>+DropINTable!AB111</f>
        <v>0</v>
      </c>
      <c r="AC80" s="46">
        <f>+DropINTable!AC111</f>
        <v>593.99119662754629</v>
      </c>
      <c r="AD80" s="46">
        <f>+DropINTable!AD111</f>
        <v>610.29630065541073</v>
      </c>
      <c r="AE80" s="46">
        <f>+DropINTable!AE111</f>
        <v>634.23021581159526</v>
      </c>
      <c r="AF80" s="46">
        <f>+DropINTable!AF111</f>
        <v>677.74944841809292</v>
      </c>
      <c r="AG80" s="46">
        <f>+DropINTable!AG111</f>
        <v>737.85085854743113</v>
      </c>
      <c r="AH80" s="46">
        <f>+DropINTable!AH111</f>
        <v>825.13824703667888</v>
      </c>
      <c r="AI80" s="46">
        <f>+DropINTable!AI111</f>
        <v>899.22935631054156</v>
      </c>
      <c r="AJ80" s="46">
        <f>+DropINTable!AJ111</f>
        <v>988.24335629458847</v>
      </c>
      <c r="AK80" s="46">
        <f>+DropINTable!AK111</f>
        <v>1035.3703568059066</v>
      </c>
      <c r="AL80" s="46">
        <f>+DropINTable!AL111</f>
        <v>1090.4658215101249</v>
      </c>
      <c r="AM80" s="46">
        <f>+DropINTable!AM111</f>
        <v>1222.0413903365545</v>
      </c>
      <c r="AN80" s="46">
        <f>+DropINTable!AN111</f>
        <v>1377.5723236134304</v>
      </c>
      <c r="AO80" s="46">
        <f>+DropINTable!AO111</f>
        <v>1414.643682841358</v>
      </c>
      <c r="AP80" s="46"/>
      <c r="AQ80" s="46"/>
      <c r="AR80" s="46"/>
    </row>
    <row r="81" spans="27:44" x14ac:dyDescent="0.2">
      <c r="AA81" t="s">
        <v>1185</v>
      </c>
      <c r="AB81" s="46">
        <f>IF(DropINTable!AB112-DropINTable!AB111&lt;0,0,+DropINTable!AB112-DropINTable!AB111)</f>
        <v>0</v>
      </c>
      <c r="AC81" s="46">
        <f>IF(DropINTable!AC112-DropINTable!AC111&lt;0,0,+DropINTable!AC112-DropINTable!AC111)</f>
        <v>0</v>
      </c>
      <c r="AD81" s="46">
        <f>IF(DropINTable!AD112-DropINTable!AD111&lt;0,0,+DropINTable!AD112-DropINTable!AD111)</f>
        <v>94.696839280523022</v>
      </c>
      <c r="AE81" s="46">
        <f>IF(DropINTable!AE112-DropINTable!AE111&lt;0,0,+DropINTable!AE112-DropINTable!AE111)</f>
        <v>94.674127433951526</v>
      </c>
      <c r="AF81" s="46">
        <f>IF(DropINTable!AF112-DropINTable!AF111&lt;0,0,+DropINTable!AF112-DropINTable!AF111)</f>
        <v>94.632832300402242</v>
      </c>
      <c r="AG81" s="46">
        <f>IF(DropINTable!AG112-DropINTable!AG111&lt;0,0,+DropINTable!AG112-DropINTable!AG111)</f>
        <v>94.575796914655484</v>
      </c>
      <c r="AH81" s="46">
        <f>IF(DropINTable!AH112-DropINTable!AH111&lt;0,0,+DropINTable!AH112-DropINTable!AH111)</f>
        <v>94.492966443000455</v>
      </c>
      <c r="AI81" s="46">
        <f>IF(DropINTable!AI112-DropINTable!AI111&lt;0,0,+DropINTable!AI112-DropINTable!AI111)</f>
        <v>94.422657059986818</v>
      </c>
      <c r="AJ81" s="46">
        <f>IF(DropINTable!AJ112-DropINTable!AJ111&lt;0,0,+DropINTable!AJ112-DropINTable!AJ111)</f>
        <v>94.338188828998227</v>
      </c>
      <c r="AK81" s="46">
        <f>IF(DropINTable!AK112-DropINTable!AK111&lt;0,0,+DropINTable!AK112-DropINTable!AK111)</f>
        <v>94.293466439830581</v>
      </c>
      <c r="AL81" s="46">
        <f>IF(DropINTable!AL112-DropINTable!AL111&lt;0,0,+DropINTable!AL112-DropINTable!AL111)</f>
        <v>94.241185867580953</v>
      </c>
      <c r="AM81" s="46">
        <f>IF(DropINTable!AM112-DropINTable!AM111&lt;0,0,+DropINTable!AM112-DropINTable!AM111)</f>
        <v>94.116326589705523</v>
      </c>
      <c r="AN81" s="46">
        <f>IF(DropINTable!AN112-DropINTable!AN111&lt;0,0,+DropINTable!AN112-DropINTable!AN111)</f>
        <v>93.968736202494256</v>
      </c>
      <c r="AO81" s="46">
        <f>IF(DropINTable!AO112-DropINTable!AO111&lt;0,0,+DropINTable!AO112-DropINTable!AO111)</f>
        <v>93.933559069388366</v>
      </c>
      <c r="AP81" s="46"/>
      <c r="AQ81" s="46"/>
      <c r="AR81" s="46"/>
    </row>
    <row r="82" spans="27:44" x14ac:dyDescent="0.2">
      <c r="AB82" s="46"/>
      <c r="AC82" s="46"/>
      <c r="AD82" s="46"/>
      <c r="AE82" s="46"/>
      <c r="AF82" s="46"/>
      <c r="AG82" s="46"/>
      <c r="AH82" s="46"/>
      <c r="AI82" s="46"/>
      <c r="AJ82" s="46"/>
      <c r="AK82" s="46"/>
      <c r="AL82" s="46"/>
      <c r="AM82" s="46"/>
      <c r="AN82" s="46"/>
      <c r="AO82" s="46"/>
      <c r="AP82" s="46"/>
      <c r="AQ82" s="46"/>
      <c r="AR82" s="46"/>
    </row>
    <row r="83" spans="27:44" x14ac:dyDescent="0.2">
      <c r="AA83" t="s">
        <v>1096</v>
      </c>
      <c r="AB83" s="46">
        <f>+DropINTable!AB116</f>
        <v>290.63468984735226</v>
      </c>
      <c r="AC83" s="46">
        <f>+DropINTable!AC116</f>
        <v>307.775945223843</v>
      </c>
      <c r="AD83" s="46">
        <f>+DropINTable!AD116</f>
        <v>323.92426972643767</v>
      </c>
      <c r="AE83" s="46">
        <f>+DropINTable!AE116</f>
        <v>347.62805224419395</v>
      </c>
      <c r="AF83" s="46">
        <f>+DropINTable!AF116</f>
        <v>390.72883289315001</v>
      </c>
      <c r="AG83" s="46">
        <f>+DropINTable!AG116</f>
        <v>450.25234673900673</v>
      </c>
      <c r="AH83" s="46">
        <f>+DropINTable!AH116</f>
        <v>536.70043704146599</v>
      </c>
      <c r="AI83" s="46">
        <f>+DropINTable!AI116</f>
        <v>610.07913431329303</v>
      </c>
      <c r="AJ83" s="46">
        <f>+DropINTable!AJ116</f>
        <v>698.23723443905556</v>
      </c>
      <c r="AK83" s="46">
        <f>+DropINTable!AK116</f>
        <v>744.91109306708336</v>
      </c>
      <c r="AL83" s="46">
        <f>+DropINTable!AL116</f>
        <v>799.47679469056868</v>
      </c>
      <c r="AM83" s="46">
        <f>+DropINTable!AM116</f>
        <v>929.78721875005692</v>
      </c>
      <c r="AN83" s="46">
        <f>+DropINTable!AN116</f>
        <v>1083.8226685587165</v>
      </c>
      <c r="AO83" s="46">
        <f>+DropINTable!AO116</f>
        <v>1120.5375759156082</v>
      </c>
      <c r="AP83" s="46"/>
      <c r="AQ83" s="46"/>
      <c r="AR83" s="46"/>
    </row>
    <row r="84" spans="27:44" x14ac:dyDescent="0.2">
      <c r="AA84" t="s">
        <v>1185</v>
      </c>
      <c r="AB84" s="46">
        <f>IF(DropINTable!AB117-DropINTable!AB116&lt;0,0,+DropINTable!AB117-DropINTable!AB116)</f>
        <v>0</v>
      </c>
      <c r="AC84" s="46">
        <f>IF(DropINTable!AC117-DropINTable!AC116&lt;0,0,+DropINTable!AC117-DropINTable!AC116)</f>
        <v>99.740211937309709</v>
      </c>
      <c r="AD84" s="46">
        <f>IF(DropINTable!AD117-DropINTable!AD116&lt;0,0,+DropINTable!AD117-DropINTable!AD116)</f>
        <v>99.639676240774406</v>
      </c>
      <c r="AE84" s="46">
        <f>IF(DropINTable!AE117-DropINTable!AE116&lt;0,0,+DropINTable!AE117-DropINTable!AE116)</f>
        <v>99.492101344574735</v>
      </c>
      <c r="AF84" s="46">
        <f>IF(DropINTable!AF117-DropINTable!AF116&lt;0,0,+DropINTable!AF117-DropINTable!AF116)</f>
        <v>99.223766915727026</v>
      </c>
      <c r="AG84" s="46">
        <f>IF(DropINTable!AG117-DropINTable!AG116&lt;0,0,+DropINTable!AG117-DropINTable!AG116)</f>
        <v>98.853187643134902</v>
      </c>
      <c r="AH84" s="46">
        <f>IF(DropINTable!AH117-DropINTable!AH116&lt;0,0,+DropINTable!AH117-DropINTable!AH116)</f>
        <v>98.314981654880739</v>
      </c>
      <c r="AI84" s="46">
        <f>IF(DropINTable!AI117-DropINTable!AI116&lt;0,0,+DropINTable!AI117-DropINTable!AI116)</f>
        <v>97.858144454287185</v>
      </c>
      <c r="AJ84" s="46">
        <f>IF(DropINTable!AJ117-DropINTable!AJ116&lt;0,0,+DropINTable!AJ117-DropINTable!AJ116)</f>
        <v>97.309292497575711</v>
      </c>
      <c r="AK84" s="46">
        <f>IF(DropINTable!AK117-DropINTable!AK116&lt;0,0,+DropINTable!AK117-DropINTable!AK116)</f>
        <v>97.018712284584808</v>
      </c>
      <c r="AL84" s="46">
        <f>IF(DropINTable!AL117-DropINTable!AL116&lt;0,0,+DropINTable!AL117-DropINTable!AL116)</f>
        <v>96.678999670960593</v>
      </c>
      <c r="AM84" s="46">
        <f>IF(DropINTable!AM117-DropINTable!AM116&lt;0,0,+DropINTable!AM117-DropINTable!AM116)</f>
        <v>95.86771766620825</v>
      </c>
      <c r="AN84" s="46">
        <f>IF(DropINTable!AN117-DropINTable!AN116&lt;0,0,+DropINTable!AN117-DropINTable!AN116)</f>
        <v>94.908728867747641</v>
      </c>
      <c r="AO84" s="46">
        <f>IF(DropINTable!AO117-DropINTable!AO116&lt;0,0,+DropINTable!AO117-DropINTable!AO116)</f>
        <v>94.6801515292982</v>
      </c>
      <c r="AP84" s="46"/>
      <c r="AQ84" s="46"/>
      <c r="AR84" s="46"/>
    </row>
    <row r="85" spans="27:44" x14ac:dyDescent="0.2">
      <c r="AB85" s="46"/>
      <c r="AC85" s="46"/>
      <c r="AD85" s="46"/>
      <c r="AE85" s="46"/>
      <c r="AF85" s="46"/>
      <c r="AG85" s="46"/>
      <c r="AH85" s="46"/>
      <c r="AI85" s="46"/>
      <c r="AJ85" s="46"/>
      <c r="AK85" s="46"/>
      <c r="AL85" s="46"/>
      <c r="AM85" s="46"/>
      <c r="AN85" s="46"/>
      <c r="AO85" s="46"/>
      <c r="AP85" s="46"/>
      <c r="AQ85" s="46"/>
      <c r="AR85" s="46"/>
    </row>
    <row r="86" spans="27:44" x14ac:dyDescent="0.2">
      <c r="AB86" s="46"/>
      <c r="AC86" s="46"/>
      <c r="AD86" s="46"/>
      <c r="AE86" s="46"/>
      <c r="AF86" s="46"/>
      <c r="AG86" s="46"/>
      <c r="AH86" s="46"/>
      <c r="AI86" s="46"/>
      <c r="AJ86" s="46"/>
      <c r="AK86" s="46"/>
      <c r="AL86" s="46"/>
      <c r="AM86" s="46"/>
      <c r="AN86" s="46"/>
      <c r="AO86" s="46"/>
      <c r="AP86" s="46"/>
      <c r="AQ86" s="46"/>
      <c r="AR86" s="46"/>
    </row>
    <row r="87" spans="27:44" ht="28.5" x14ac:dyDescent="0.45">
      <c r="AA87" s="368" t="s">
        <v>234</v>
      </c>
      <c r="AB87" s="46"/>
      <c r="AC87" s="46"/>
      <c r="AD87" s="46"/>
      <c r="AE87" s="46"/>
      <c r="AF87" s="46"/>
      <c r="AG87" s="46"/>
      <c r="AH87" s="46"/>
      <c r="AI87" s="46"/>
      <c r="AJ87" s="46"/>
      <c r="AK87" s="46"/>
      <c r="AL87" s="46"/>
      <c r="AM87" s="46"/>
      <c r="AN87" s="46"/>
      <c r="AO87" s="46"/>
      <c r="AP87" s="46"/>
      <c r="AQ87" s="46"/>
      <c r="AR87" s="46"/>
    </row>
    <row r="88" spans="27:44" x14ac:dyDescent="0.2">
      <c r="AA88" t="s">
        <v>1085</v>
      </c>
      <c r="AB88" s="46">
        <f>+DropINTable!AB123</f>
        <v>0</v>
      </c>
      <c r="AC88" s="46">
        <f>+DropINTable!AC123</f>
        <v>570.40886846978628</v>
      </c>
      <c r="AD88" s="46">
        <f>+DropINTable!AD123</f>
        <v>586.7139719792076</v>
      </c>
      <c r="AE88" s="46">
        <f>+DropINTable!AE123</f>
        <v>610.64788738165271</v>
      </c>
      <c r="AF88" s="46">
        <f>+DropINTable!AF123</f>
        <v>654.16712089542568</v>
      </c>
      <c r="AG88" s="46">
        <f>+DropINTable!AG123</f>
        <v>714.26853036756097</v>
      </c>
      <c r="AH88" s="46">
        <f>+DropINTable!AH123</f>
        <v>801.55591835971336</v>
      </c>
      <c r="AI88" s="46">
        <f>+DropINTable!AI123</f>
        <v>875.64702792634375</v>
      </c>
      <c r="AJ88" s="46">
        <f>+DropINTable!AJ123</f>
        <v>964.66102822145683</v>
      </c>
      <c r="AK88" s="46">
        <f>+DropINTable!AK123</f>
        <v>1011.7880276470939</v>
      </c>
      <c r="AL88" s="46">
        <f>+DropINTable!AL123</f>
        <v>1066.8834924611001</v>
      </c>
      <c r="AM88" s="46">
        <f>+DropINTable!AM123</f>
        <v>1198.4590607324906</v>
      </c>
      <c r="AN88" s="46">
        <f>+DropINTable!AN123</f>
        <v>1353.9899939727709</v>
      </c>
      <c r="AO88" s="46">
        <f>+DropINTable!AO123</f>
        <v>1391.0613545913454</v>
      </c>
      <c r="AP88" s="46"/>
      <c r="AQ88" s="46"/>
      <c r="AR88" s="46"/>
    </row>
    <row r="89" spans="27:44" x14ac:dyDescent="0.2">
      <c r="AA89" t="s">
        <v>1185</v>
      </c>
      <c r="AB89" s="46">
        <f>IF(DropINTable!AB124-DropINTable!AB123&lt;0,0,+DropINTable!AB124-DropINTable!AB123)</f>
        <v>0</v>
      </c>
      <c r="AC89" s="46">
        <f>IF(DropINTable!AC124-DropINTable!AC123&lt;0,0,+DropINTable!AC124-DropINTable!AC123)</f>
        <v>0</v>
      </c>
      <c r="AD89" s="46">
        <f>IF(DropINTable!AD124-DropINTable!AD123&lt;0,0,+DropINTable!AD124-DropINTable!AD123)</f>
        <v>94.719217336963084</v>
      </c>
      <c r="AE89" s="46">
        <f>IF(DropINTable!AE124-DropINTable!AE123&lt;0,0,+DropINTable!AE124-DropINTable!AE123)</f>
        <v>94.69650631917591</v>
      </c>
      <c r="AF89" s="46">
        <f>IF(DropINTable!AF124-DropINTable!AF123&lt;0,0,+DropINTable!AF124-DropINTable!AF123)</f>
        <v>94.655208281839464</v>
      </c>
      <c r="AG89" s="46">
        <f>IF(DropINTable!AG124-DropINTable!AG123&lt;0,0,+DropINTable!AG124-DropINTable!AG123)</f>
        <v>94.598175015941479</v>
      </c>
      <c r="AH89" s="46">
        <f>IF(DropINTable!AH124-DropINTable!AH123&lt;0,0,+DropINTable!AH124-DropINTable!AH123)</f>
        <v>94.515345816584386</v>
      </c>
      <c r="AI89" s="46">
        <f>IF(DropINTable!AI124-DropINTable!AI123&lt;0,0,+DropINTable!AI124-DropINTable!AI123)</f>
        <v>94.445034751289086</v>
      </c>
      <c r="AJ89" s="46">
        <f>IF(DropINTable!AJ124-DropINTable!AJ123&lt;0,0,+DropINTable!AJ124-DropINTable!AJ123)</f>
        <v>94.360569193032347</v>
      </c>
      <c r="AK89" s="46">
        <f>IF(DropINTable!AK124-DropINTable!AK123&lt;0,0,+DropINTable!AK124-DropINTable!AK123)</f>
        <v>94.315847128969835</v>
      </c>
      <c r="AL89" s="46">
        <f>IF(DropINTable!AL124-DropINTable!AL123&lt;0,0,+DropINTable!AL124-DropINTable!AL123)</f>
        <v>94.263564633251235</v>
      </c>
      <c r="AM89" s="46">
        <f>IF(DropINTable!AM124-DropINTable!AM123&lt;0,0,+DropINTable!AM124-DropINTable!AM123)</f>
        <v>94.138705617885762</v>
      </c>
      <c r="AN89" s="46">
        <f>IF(DropINTable!AN124-DropINTable!AN123&lt;0,0,+DropINTable!AN124-DropINTable!AN123)</f>
        <v>93.991115618305002</v>
      </c>
      <c r="AO89" s="46">
        <f>IF(DropINTable!AO124-DropINTable!AO123&lt;0,0,+DropINTable!AO124-DropINTable!AO123)</f>
        <v>93.955936333976297</v>
      </c>
      <c r="AP89" s="46"/>
      <c r="AQ89" s="46"/>
      <c r="AR89" s="46"/>
    </row>
    <row r="90" spans="27:44" x14ac:dyDescent="0.2">
      <c r="AB90" s="46"/>
      <c r="AC90" s="46"/>
      <c r="AD90" s="46"/>
      <c r="AE90" s="46"/>
      <c r="AF90" s="46"/>
      <c r="AG90" s="46"/>
      <c r="AH90" s="46"/>
      <c r="AI90" s="46"/>
      <c r="AJ90" s="46"/>
      <c r="AK90" s="46"/>
      <c r="AL90" s="46"/>
      <c r="AM90" s="46"/>
      <c r="AN90" s="46"/>
      <c r="AO90" s="46"/>
      <c r="AP90" s="46"/>
      <c r="AQ90" s="46"/>
      <c r="AR90" s="46"/>
    </row>
    <row r="91" spans="27:44" x14ac:dyDescent="0.2">
      <c r="AA91" t="s">
        <v>1096</v>
      </c>
      <c r="AB91" s="46">
        <f>+DropINTable!AB128</f>
        <v>267.27911364543974</v>
      </c>
      <c r="AC91" s="46">
        <f>+DropINTable!AC128</f>
        <v>284.42036897788637</v>
      </c>
      <c r="AD91" s="46">
        <f>+DropINTable!AD128</f>
        <v>300.56869383299448</v>
      </c>
      <c r="AE91" s="46">
        <f>+DropINTable!AE128</f>
        <v>324.27247638661839</v>
      </c>
      <c r="AF91" s="46">
        <f>+DropINTable!AF128</f>
        <v>367.37325643168555</v>
      </c>
      <c r="AG91" s="46">
        <f>+DropINTable!AG128</f>
        <v>426.89677109439668</v>
      </c>
      <c r="AH91" s="46">
        <f>+DropINTable!AH128</f>
        <v>513.34486074837355</v>
      </c>
      <c r="AI91" s="46">
        <f>+DropINTable!AI128</f>
        <v>586.72355786016385</v>
      </c>
      <c r="AJ91" s="46">
        <f>+DropINTable!AJ128</f>
        <v>674.88165904283608</v>
      </c>
      <c r="AK91" s="46">
        <f>+DropINTable!AK128</f>
        <v>721.55551605049152</v>
      </c>
      <c r="AL91" s="46">
        <f>+DropINTable!AL128</f>
        <v>776.12121968110478</v>
      </c>
      <c r="AM91" s="46">
        <f>+DropINTable!AM128</f>
        <v>906.43164303376363</v>
      </c>
      <c r="AN91" s="46">
        <f>+DropINTable!AN128</f>
        <v>1060.4670921689353</v>
      </c>
      <c r="AO91" s="46">
        <f>+DropINTable!AO128</f>
        <v>1097.1819990457166</v>
      </c>
      <c r="AP91" s="46"/>
      <c r="AQ91" s="46"/>
      <c r="AR91" s="46"/>
    </row>
    <row r="92" spans="27:44" x14ac:dyDescent="0.2">
      <c r="AA92" t="s">
        <v>1185</v>
      </c>
      <c r="AB92" s="46">
        <f>IF(DropINTable!AB129-DropINTable!AB128&lt;0,0,+DropINTable!AB129-DropINTable!AB128)</f>
        <v>0</v>
      </c>
      <c r="AC92" s="46">
        <f>IF(DropINTable!AC129-DropINTable!AC128&lt;0,0,+DropINTable!AC129-DropINTable!AC128)</f>
        <v>99.885618998255609</v>
      </c>
      <c r="AD92" s="46">
        <f>IF(DropINTable!AD129-DropINTable!AD128&lt;0,0,+DropINTable!AD129-DropINTable!AD128)</f>
        <v>99.78508206228372</v>
      </c>
      <c r="AE92" s="46">
        <f>IF(DropINTable!AE129-DropINTable!AE128&lt;0,0,+DropINTable!AE129-DropINTable!AE128)</f>
        <v>99.637508604326854</v>
      </c>
      <c r="AF92" s="46">
        <f>IF(DropINTable!AF129-DropINTable!AF128&lt;0,0,+DropINTable!AF129-DropINTable!AF128)</f>
        <v>99.369173718008483</v>
      </c>
      <c r="AG92" s="46">
        <f>IF(DropINTable!AG129-DropINTable!AG128&lt;0,0,+DropINTable!AG129-DropINTable!AG128)</f>
        <v>98.998593569597517</v>
      </c>
      <c r="AH92" s="46">
        <f>IF(DropINTable!AH129-DropINTable!AH128&lt;0,0,+DropINTable!AH129-DropINTable!AH128)</f>
        <v>98.460390352544664</v>
      </c>
      <c r="AI92" s="46">
        <f>IF(DropINTable!AI129-DropINTable!AI128&lt;0,0,+DropINTable!AI129-DropINTable!AI128)</f>
        <v>98.003550835482542</v>
      </c>
      <c r="AJ92" s="46">
        <f>IF(DropINTable!AJ129-DropINTable!AJ128&lt;0,0,+DropINTable!AJ129-DropINTable!AJ128)</f>
        <v>97.454700141128342</v>
      </c>
      <c r="AK92" s="46">
        <f>IF(DropINTable!AK129-DropINTable!AK128&lt;0,0,+DropINTable!AK129-DropINTable!AK128)</f>
        <v>97.164118089264093</v>
      </c>
      <c r="AL92" s="46">
        <f>IF(DropINTable!AL129-DropINTable!AL128&lt;0,0,+DropINTable!AL129-DropINTable!AL128)</f>
        <v>96.824407006376873</v>
      </c>
      <c r="AM92" s="46">
        <f>IF(DropINTable!AM129-DropINTable!AM128&lt;0,0,+DropINTable!AM129-DropINTable!AM128)</f>
        <v>96.013124371927006</v>
      </c>
      <c r="AN92" s="46">
        <f>IF(DropINTable!AN129-DropINTable!AN128&lt;0,0,+DropINTable!AN129-DropINTable!AN128)</f>
        <v>95.054138605530625</v>
      </c>
      <c r="AO92" s="46">
        <f>IF(DropINTable!AO129-DropINTable!AO128&lt;0,0,+DropINTable!AO129-DropINTable!AO128)</f>
        <v>94.825558602422916</v>
      </c>
      <c r="AP92" s="46"/>
      <c r="AQ92" s="46"/>
      <c r="AR92" s="46"/>
    </row>
    <row r="93" spans="27:44" x14ac:dyDescent="0.2">
      <c r="AP93" s="46"/>
      <c r="AQ93" s="46"/>
      <c r="AR93" s="46"/>
    </row>
    <row r="94" spans="27:44" x14ac:dyDescent="0.2">
      <c r="AP94" s="46"/>
      <c r="AQ94" s="46"/>
      <c r="AR94" s="46"/>
    </row>
    <row r="95" spans="27:44" ht="28.5" x14ac:dyDescent="0.45">
      <c r="AA95" s="368" t="s">
        <v>242</v>
      </c>
      <c r="AB95" s="46"/>
      <c r="AC95" s="46"/>
      <c r="AD95" s="46"/>
      <c r="AE95" s="46"/>
      <c r="AF95" s="46"/>
      <c r="AG95" s="46"/>
      <c r="AH95" s="46"/>
      <c r="AI95" s="46"/>
      <c r="AJ95" s="46"/>
      <c r="AK95" s="46"/>
      <c r="AL95" s="46"/>
      <c r="AM95" s="46"/>
      <c r="AN95" s="46"/>
      <c r="AO95" s="46"/>
      <c r="AP95" s="46"/>
      <c r="AQ95" s="46"/>
      <c r="AR95" s="46"/>
    </row>
    <row r="96" spans="27:44" x14ac:dyDescent="0.2">
      <c r="AA96" t="s">
        <v>1085</v>
      </c>
      <c r="AB96" s="46">
        <f>+DropINTable!AB135</f>
        <v>0</v>
      </c>
      <c r="AC96" s="46">
        <f>+DropINTable!AC135</f>
        <v>623.66244064739305</v>
      </c>
      <c r="AD96" s="46">
        <f>+DropINTable!AD135</f>
        <v>639.96754505112858</v>
      </c>
      <c r="AE96" s="46">
        <f>+DropINTable!AE135</f>
        <v>663.90145979865815</v>
      </c>
      <c r="AF96" s="46">
        <f>+DropINTable!AF135</f>
        <v>707.42069266132773</v>
      </c>
      <c r="AG96" s="46">
        <f>+DropINTable!AG135</f>
        <v>767.52210298279476</v>
      </c>
      <c r="AH96" s="46">
        <f>+DropINTable!AH135</f>
        <v>854.80949233814727</v>
      </c>
      <c r="AI96" s="46">
        <f>+DropINTable!AI135</f>
        <v>928.90059988894916</v>
      </c>
      <c r="AJ96" s="46">
        <f>+DropINTable!AJ135</f>
        <v>1017.9146003670421</v>
      </c>
      <c r="AK96" s="46">
        <f>+DropINTable!AK135</f>
        <v>1065.0416007441745</v>
      </c>
      <c r="AL96" s="46">
        <f>+DropINTable!AL135</f>
        <v>1120.1370657106643</v>
      </c>
      <c r="AM96" s="46">
        <f>+DropINTable!AM135</f>
        <v>1251.7126337929756</v>
      </c>
      <c r="AN96" s="46">
        <f>+DropINTable!AN135</f>
        <v>1407.2435675943939</v>
      </c>
      <c r="AO96" s="46">
        <f>+DropINTable!AO135</f>
        <v>1444.3149275908368</v>
      </c>
      <c r="AP96" s="46"/>
      <c r="AQ96" s="46"/>
      <c r="AR96" s="46"/>
    </row>
    <row r="97" spans="27:44" x14ac:dyDescent="0.2">
      <c r="AA97" t="s">
        <v>1185</v>
      </c>
      <c r="AB97" s="46">
        <f>IF(DropINTable!AB136-DropINTable!AB135&lt;0,0,+DropINTable!AB136-DropINTable!AB135)</f>
        <v>0</v>
      </c>
      <c r="AC97" s="46">
        <f>IF(DropINTable!AC136-DropINTable!AC135&lt;0,0,+DropINTable!AC136-DropINTable!AC135)</f>
        <v>0</v>
      </c>
      <c r="AD97" s="46">
        <f>IF(DropINTable!AD136-DropINTable!AD135&lt;0,0,+DropINTable!AD136-DropINTable!AD135)</f>
        <v>94.668683316644206</v>
      </c>
      <c r="AE97" s="46">
        <f>IF(DropINTable!AE136-DropINTable!AE135&lt;0,0,+DropINTable!AE136-DropINTable!AE135)</f>
        <v>94.645971790969156</v>
      </c>
      <c r="AF97" s="46">
        <f>IF(DropINTable!AF136-DropINTable!AF135&lt;0,0,+DropINTable!AF136-DropINTable!AF135)</f>
        <v>94.6046746533857</v>
      </c>
      <c r="AG97" s="46">
        <f>IF(DropINTable!AG136-DropINTable!AG135&lt;0,0,+DropINTable!AG136-DropINTable!AG135)</f>
        <v>94.547642117813666</v>
      </c>
      <c r="AH97" s="46">
        <f>IF(DropINTable!AH136-DropINTable!AH135&lt;0,0,+DropINTable!AH136-DropINTable!AH135)</f>
        <v>94.464808995626072</v>
      </c>
      <c r="AI97" s="46">
        <f>IF(DropINTable!AI136-DropINTable!AI135&lt;0,0,+DropINTable!AI136-DropINTable!AI135)</f>
        <v>94.394503471136318</v>
      </c>
      <c r="AJ97" s="46">
        <f>IF(DropINTable!AJ136-DropINTable!AJ135&lt;0,0,+DropINTable!AJ136-DropINTable!AJ135)</f>
        <v>94.310032844661919</v>
      </c>
      <c r="AK97" s="46">
        <f>IF(DropINTable!AK136-DropINTable!AK135&lt;0,0,+DropINTable!AK136-DropINTable!AK135)</f>
        <v>94.265313631983645</v>
      </c>
      <c r="AL97" s="46">
        <f>IF(DropINTable!AL136-DropINTable!AL135&lt;0,0,+DropINTable!AL136-DropINTable!AL135)</f>
        <v>94.213031217804655</v>
      </c>
      <c r="AM97" s="46">
        <f>IF(DropINTable!AM136-DropINTable!AM135&lt;0,0,+DropINTable!AM136-DropINTable!AM135)</f>
        <v>94.08817171870146</v>
      </c>
      <c r="AN97" s="46">
        <f>IF(DropINTable!AN136-DropINTable!AN135&lt;0,0,+DropINTable!AN136-DropINTable!AN135)</f>
        <v>93.940580397406848</v>
      </c>
      <c r="AO97" s="46">
        <f>IF(DropINTable!AO136-DropINTable!AO135&lt;0,0,+DropINTable!AO136-DropINTable!AO135)</f>
        <v>93.905404894525191</v>
      </c>
      <c r="AP97" s="46"/>
      <c r="AQ97" s="46"/>
      <c r="AR97" s="46"/>
    </row>
    <row r="98" spans="27:44" x14ac:dyDescent="0.2">
      <c r="AB98" s="46"/>
      <c r="AC98" s="46"/>
      <c r="AD98" s="46"/>
      <c r="AE98" s="46"/>
      <c r="AF98" s="46"/>
      <c r="AG98" s="46"/>
      <c r="AH98" s="46"/>
      <c r="AI98" s="46"/>
      <c r="AJ98" s="46"/>
      <c r="AK98" s="46"/>
      <c r="AL98" s="46"/>
      <c r="AM98" s="46"/>
      <c r="AN98" s="46"/>
      <c r="AO98" s="46"/>
      <c r="AP98" s="46"/>
      <c r="AQ98" s="46"/>
    </row>
    <row r="99" spans="27:44" x14ac:dyDescent="0.2">
      <c r="AA99" t="s">
        <v>1096</v>
      </c>
      <c r="AB99" s="46">
        <f>+DropINTable!AB140</f>
        <v>320.02063512923439</v>
      </c>
      <c r="AC99" s="46">
        <f>+DropINTable!AC140</f>
        <v>337.16189031049799</v>
      </c>
      <c r="AD99" s="46">
        <f>+DropINTable!AD140</f>
        <v>353.31021531130625</v>
      </c>
      <c r="AE99" s="46">
        <f>+DropINTable!AE140</f>
        <v>377.01399701074945</v>
      </c>
      <c r="AF99" s="46">
        <f>+DropINTable!AF140</f>
        <v>420.11477772888793</v>
      </c>
      <c r="AG99" s="46">
        <f>+DropINTable!AG140</f>
        <v>479.63829236409282</v>
      </c>
      <c r="AH99" s="46">
        <f>+DropINTable!AH140</f>
        <v>566.08638215310066</v>
      </c>
      <c r="AI99" s="46">
        <f>+DropINTable!AI140</f>
        <v>639.465078931481</v>
      </c>
      <c r="AJ99" s="46">
        <f>+DropINTable!AJ140</f>
        <v>727.62318008414627</v>
      </c>
      <c r="AK99" s="46">
        <f>+DropINTable!AK140</f>
        <v>774.29703751189822</v>
      </c>
      <c r="AL99" s="46">
        <f>+DropINTable!AL140</f>
        <v>828.8627403956732</v>
      </c>
      <c r="AM99" s="46">
        <f>+DropINTable!AM140</f>
        <v>959.1731648419169</v>
      </c>
      <c r="AN99" s="46">
        <f>+DropINTable!AN140</f>
        <v>1113.2086152707193</v>
      </c>
      <c r="AO99" s="46">
        <f>+DropINTable!AO140</f>
        <v>1149.9235210072384</v>
      </c>
      <c r="AP99" s="46"/>
      <c r="AQ99" s="46"/>
    </row>
    <row r="100" spans="27:44" x14ac:dyDescent="0.2">
      <c r="AA100" t="s">
        <v>1185</v>
      </c>
      <c r="AB100" s="46">
        <f>IF(DropINTable!AB141-DropINTable!AB140&lt;0,0,+DropINTable!AB141-DropINTable!AB140)</f>
        <v>0</v>
      </c>
      <c r="AC100" s="46">
        <f>IF(DropINTable!AC141-DropINTable!AC140&lt;0,0,+DropINTable!AC141-DropINTable!AC140)</f>
        <v>99.557263295630435</v>
      </c>
      <c r="AD100" s="46">
        <f>IF(DropINTable!AD141-DropINTable!AD140&lt;0,0,+DropINTable!AD141-DropINTable!AD140)</f>
        <v>99.456726304861945</v>
      </c>
      <c r="AE100" s="46">
        <f>IF(DropINTable!AE141-DropINTable!AE140&lt;0,0,+DropINTable!AE141-DropINTable!AE140)</f>
        <v>99.309153160578546</v>
      </c>
      <c r="AF100" s="46">
        <f>IF(DropINTable!AF141-DropINTable!AF140&lt;0,0,+DropINTable!AF141-DropINTable!AF140)</f>
        <v>99.040817915665912</v>
      </c>
      <c r="AG100" s="46">
        <f>IF(DropINTable!AG141-DropINTable!AG140&lt;0,0,+DropINTable!AG141-DropINTable!AG140)</f>
        <v>98.670237028223653</v>
      </c>
      <c r="AH100" s="46">
        <f>IF(DropINTable!AH141-DropINTable!AH140&lt;0,0,+DropINTable!AH141-DropINTable!AH140)</f>
        <v>98.132032929257434</v>
      </c>
      <c r="AI100" s="46">
        <f>IF(DropINTable!AI141-DropINTable!AI140&lt;0,0,+DropINTable!AI141-DropINTable!AI140)</f>
        <v>97.675195160750945</v>
      </c>
      <c r="AJ100" s="46">
        <f>IF(DropINTable!AJ141-DropINTable!AJ140&lt;0,0,+DropINTable!AJ141-DropINTable!AJ140)</f>
        <v>97.126342491613741</v>
      </c>
      <c r="AK100" s="46">
        <f>IF(DropINTable!AK141-DropINTable!AK140&lt;0,0,+DropINTable!AK141-DropINTable!AK140)</f>
        <v>96.835764029233246</v>
      </c>
      <c r="AL100" s="46">
        <f>IF(DropINTable!AL141-DropINTable!AL140&lt;0,0,+DropINTable!AL141-DropINTable!AL140)</f>
        <v>96.49605282837274</v>
      </c>
      <c r="AM100" s="46">
        <f>IF(DropINTable!AM141-DropINTable!AM140&lt;0,0,+DropINTable!AM141-DropINTable!AM140)</f>
        <v>95.684767056238456</v>
      </c>
      <c r="AN100" s="46">
        <f>IF(DropINTable!AN141-DropINTable!AN140&lt;0,0,+DropINTable!AN141-DropINTable!AN140)</f>
        <v>94.72577991759249</v>
      </c>
      <c r="AO100" s="46">
        <f>IF(DropINTable!AO141-DropINTable!AO140&lt;0,0,+DropINTable!AO141-DropINTable!AO140)</f>
        <v>94.497201526461822</v>
      </c>
      <c r="AP100" s="46"/>
      <c r="AQ100" s="46"/>
      <c r="AR100" s="46"/>
    </row>
    <row r="101" spans="27:44" x14ac:dyDescent="0.2">
      <c r="AP101" s="46"/>
      <c r="AQ101" s="46"/>
      <c r="AR101" s="46"/>
    </row>
    <row r="102" spans="27:44" x14ac:dyDescent="0.2">
      <c r="AP102" s="46"/>
      <c r="AQ102" s="46"/>
      <c r="AR102" s="46"/>
    </row>
    <row r="103" spans="27:44" ht="28.5" x14ac:dyDescent="0.45">
      <c r="AA103" s="368" t="s">
        <v>235</v>
      </c>
      <c r="AB103" s="46"/>
      <c r="AC103" s="46"/>
      <c r="AD103" s="46"/>
      <c r="AE103" s="46"/>
      <c r="AF103" s="46"/>
      <c r="AG103" s="46"/>
      <c r="AH103" s="46"/>
      <c r="AI103" s="46"/>
      <c r="AJ103" s="46"/>
      <c r="AK103" s="46"/>
      <c r="AL103" s="46"/>
      <c r="AM103" s="46"/>
      <c r="AN103" s="46"/>
      <c r="AO103" s="46"/>
      <c r="AP103" s="46"/>
      <c r="AQ103" s="46"/>
      <c r="AR103" s="46"/>
    </row>
    <row r="104" spans="27:44" x14ac:dyDescent="0.2">
      <c r="AA104" t="s">
        <v>1085</v>
      </c>
      <c r="AB104" s="46">
        <f>+DropINTable!AB147</f>
        <v>0</v>
      </c>
      <c r="AC104" s="46">
        <f>+DropINTable!AC147</f>
        <v>645.62222168571861</v>
      </c>
      <c r="AD104" s="46">
        <f>+DropINTable!AD147</f>
        <v>661.92732578753737</v>
      </c>
      <c r="AE104" s="46">
        <f>+DropINTable!AE147</f>
        <v>685.86124137677427</v>
      </c>
      <c r="AF104" s="46">
        <f>+DropINTable!AF147</f>
        <v>729.38047405951352</v>
      </c>
      <c r="AG104" s="46">
        <f>+DropINTable!AG147</f>
        <v>789.4818839143818</v>
      </c>
      <c r="AH104" s="46">
        <f>+DropINTable!AH147</f>
        <v>876.76927165036238</v>
      </c>
      <c r="AI104" s="46">
        <f>+DropINTable!AI147</f>
        <v>950.86038050337129</v>
      </c>
      <c r="AJ104" s="46">
        <f>+DropINTable!AJ147</f>
        <v>1039.8743821220387</v>
      </c>
      <c r="AK104" s="46">
        <f>+DropINTable!AK147</f>
        <v>1087.0013816208677</v>
      </c>
      <c r="AL104" s="46">
        <f>+DropINTable!AL147</f>
        <v>1142.0968462701924</v>
      </c>
      <c r="AM104" s="46">
        <f>+DropINTable!AM147</f>
        <v>1273.6724151759133</v>
      </c>
      <c r="AN104" s="46">
        <f>+DropINTable!AN147</f>
        <v>1429.2033488065504</v>
      </c>
      <c r="AO104" s="46">
        <f>+DropINTable!AO147</f>
        <v>1466.274707802703</v>
      </c>
      <c r="AP104" s="46"/>
      <c r="AQ104" s="46"/>
      <c r="AR104" s="46"/>
    </row>
    <row r="105" spans="27:44" x14ac:dyDescent="0.2">
      <c r="AA105" t="s">
        <v>1185</v>
      </c>
      <c r="AB105" s="46">
        <f>IF(DropINTable!AB148-DropINTable!AB147&lt;0,0,+DropINTable!AB148-DropINTable!AB147)</f>
        <v>0</v>
      </c>
      <c r="AC105" s="46">
        <f>IF(DropINTable!AC148-DropINTable!AC147&lt;0,0,+DropINTable!AC148-DropINTable!AC147)</f>
        <v>0</v>
      </c>
      <c r="AD105" s="46">
        <f>IF(DropINTable!AD148-DropINTable!AD147&lt;0,0,+DropINTable!AD148-DropINTable!AD147)</f>
        <v>94.647845821890314</v>
      </c>
      <c r="AE105" s="46">
        <f>IF(DropINTable!AE148-DropINTable!AE147&lt;0,0,+DropINTable!AE148-DropINTable!AE147)</f>
        <v>94.625132401402652</v>
      </c>
      <c r="AF105" s="46">
        <f>IF(DropINTable!AF148-DropINTable!AF147&lt;0,0,+DropINTable!AF148-DropINTable!AF147)</f>
        <v>94.583834288259368</v>
      </c>
      <c r="AG105" s="46">
        <f>IF(DropINTable!AG148-DropINTable!AG147&lt;0,0,+DropINTable!AG148-DropINTable!AG147)</f>
        <v>94.526804135352563</v>
      </c>
      <c r="AH105" s="46">
        <f>IF(DropINTable!AH148-DropINTable!AH147&lt;0,0,+DropINTable!AH148-DropINTable!AH147)</f>
        <v>94.443972310754361</v>
      </c>
      <c r="AI105" s="46">
        <f>IF(DropINTable!AI148-DropINTable!AI147&lt;0,0,+DropINTable!AI148-DropINTable!AI147)</f>
        <v>94.37366603986311</v>
      </c>
      <c r="AJ105" s="46">
        <f>IF(DropINTable!AJ148-DropINTable!AJ147&lt;0,0,+DropINTable!AJ148-DropINTable!AJ147)</f>
        <v>94.289192722409553</v>
      </c>
      <c r="AK105" s="46">
        <f>IF(DropINTable!AK148-DropINTable!AK147&lt;0,0,+DropINTable!AK148-DropINTable!AK147)</f>
        <v>94.244474914587272</v>
      </c>
      <c r="AL105" s="46">
        <f>IF(DropINTable!AL148-DropINTable!AL147&lt;0,0,+DropINTable!AL148-DropINTable!AL147)</f>
        <v>94.192192203262266</v>
      </c>
      <c r="AM105" s="46">
        <f>IF(DropINTable!AM148-DropINTable!AM147&lt;0,0,+DropINTable!AM148-DropINTable!AM147)</f>
        <v>94.067335069317778</v>
      </c>
      <c r="AN105" s="46">
        <f>IF(DropINTable!AN148-DropINTable!AN147&lt;0,0,+DropINTable!AN148-DropINTable!AN147)</f>
        <v>93.919744562368351</v>
      </c>
      <c r="AO105" s="46">
        <f>IF(DropINTable!AO148-DropINTable!AO147&lt;0,0,+DropINTable!AO148-DropINTable!AO147)</f>
        <v>93.884563331605023</v>
      </c>
      <c r="AP105" s="46"/>
      <c r="AQ105" s="46"/>
      <c r="AR105" s="46"/>
    </row>
    <row r="106" spans="27:44" x14ac:dyDescent="0.2">
      <c r="AB106" s="46"/>
      <c r="AC106" s="46"/>
      <c r="AD106" s="46"/>
      <c r="AE106" s="46"/>
      <c r="AF106" s="46"/>
      <c r="AG106" s="46"/>
      <c r="AH106" s="46"/>
      <c r="AI106" s="46"/>
      <c r="AJ106" s="46"/>
      <c r="AK106" s="46"/>
      <c r="AL106" s="46"/>
      <c r="AM106" s="46"/>
      <c r="AN106" s="46"/>
      <c r="AO106" s="46"/>
      <c r="AP106" s="46"/>
      <c r="AQ106" s="46"/>
      <c r="AR106" s="46"/>
    </row>
    <row r="107" spans="27:44" x14ac:dyDescent="0.2">
      <c r="AA107" t="s">
        <v>1096</v>
      </c>
      <c r="AB107" s="46">
        <f>+DropINTable!AB152</f>
        <v>341.76926489123122</v>
      </c>
      <c r="AC107" s="46">
        <f>+DropINTable!AC152</f>
        <v>358.91052019863707</v>
      </c>
      <c r="AD107" s="46">
        <f>+DropINTable!AD152</f>
        <v>375.05884525169688</v>
      </c>
      <c r="AE107" s="46">
        <f>+DropINTable!AE152</f>
        <v>398.76262728996795</v>
      </c>
      <c r="AF107" s="46">
        <f>+DropINTable!AF152</f>
        <v>441.86340810812942</v>
      </c>
      <c r="AG107" s="46">
        <f>+DropINTable!AG152</f>
        <v>501.38692228489555</v>
      </c>
      <c r="AH107" s="46">
        <f>+DropINTable!AH152</f>
        <v>587.8350122656143</v>
      </c>
      <c r="AI107" s="46">
        <f>+DropINTable!AI152</f>
        <v>661.21370940407735</v>
      </c>
      <c r="AJ107" s="46">
        <f>+DropINTable!AJ152</f>
        <v>749.371810199994</v>
      </c>
      <c r="AK107" s="46">
        <f>+DropINTable!AK152</f>
        <v>796.04566766108678</v>
      </c>
      <c r="AL107" s="46">
        <f>+DropINTable!AL152</f>
        <v>850.61137019144724</v>
      </c>
      <c r="AM107" s="46">
        <f>+DropINTable!AM152</f>
        <v>980.92179437096297</v>
      </c>
      <c r="AN107" s="46">
        <f>+DropINTable!AN152</f>
        <v>1134.9572445130325</v>
      </c>
      <c r="AO107" s="46">
        <f>+DropINTable!AO152</f>
        <v>1171.6721509163719</v>
      </c>
      <c r="AP107" s="46"/>
      <c r="AQ107" s="46"/>
      <c r="AR107" s="46"/>
    </row>
    <row r="108" spans="27:44" x14ac:dyDescent="0.2">
      <c r="AA108" t="s">
        <v>1185</v>
      </c>
      <c r="AB108" s="46">
        <f>IF(DropINTable!AB153-DropINTable!AB152&lt;0,0,+DropINTable!AB153-DropINTable!AB152)</f>
        <v>0</v>
      </c>
      <c r="AC108" s="46">
        <f>IF(DropINTable!AC153-DropINTable!AC152&lt;0,0,+DropINTable!AC153-DropINTable!AC152)</f>
        <v>99.421860448629275</v>
      </c>
      <c r="AD108" s="46">
        <f>IF(DropINTable!AD153-DropINTable!AD152&lt;0,0,+DropINTable!AD153-DropINTable!AD152)</f>
        <v>99.321324634034625</v>
      </c>
      <c r="AE108" s="46">
        <f>IF(DropINTable!AE153-DropINTable!AE152&lt;0,0,+DropINTable!AE153-DropINTable!AE152)</f>
        <v>99.173751347471352</v>
      </c>
      <c r="AF108" s="46">
        <f>IF(DropINTable!AF153-DropINTable!AF152&lt;0,0,+DropINTable!AF153-DropINTable!AF152)</f>
        <v>98.905416061500091</v>
      </c>
      <c r="AG108" s="46">
        <f>IF(DropINTable!AG153-DropINTable!AG152&lt;0,0,+DropINTable!AG153-DropINTable!AG152)</f>
        <v>98.534835966628464</v>
      </c>
      <c r="AH108" s="46">
        <f>IF(DropINTable!AH153-DropINTable!AH152&lt;0,0,+DropINTable!AH153-DropINTable!AH152)</f>
        <v>97.99663049666276</v>
      </c>
      <c r="AI108" s="46">
        <f>IF(DropINTable!AI153-DropINTable!AI152&lt;0,0,+DropINTable!AI153-DropINTable!AI152)</f>
        <v>97.539793075646685</v>
      </c>
      <c r="AJ108" s="46">
        <f>IF(DropINTable!AJ153-DropINTable!AJ152&lt;0,0,+DropINTable!AJ153-DropINTable!AJ152)</f>
        <v>96.990940841877432</v>
      </c>
      <c r="AK108" s="46">
        <f>IF(DropINTable!AK153-DropINTable!AK152&lt;0,0,+DropINTable!AK153-DropINTable!AK152)</f>
        <v>96.700363368205899</v>
      </c>
      <c r="AL108" s="46">
        <f>IF(DropINTable!AL153-DropINTable!AL152&lt;0,0,+DropINTable!AL153-DropINTable!AL152)</f>
        <v>96.360647253272305</v>
      </c>
      <c r="AM108" s="46">
        <f>IF(DropINTable!AM153-DropINTable!AM152&lt;0,0,+DropINTable!AM153-DropINTable!AM152)</f>
        <v>95.549370002883961</v>
      </c>
      <c r="AN108" s="46">
        <f>IF(DropINTable!AN153-DropINTable!AN152&lt;0,0,+DropINTable!AN153-DropINTable!AN152)</f>
        <v>94.590381264109283</v>
      </c>
      <c r="AO108" s="46">
        <f>IF(DropINTable!AO153-DropINTable!AO152&lt;0,0,+DropINTable!AO153-DropINTable!AO152)</f>
        <v>94.361800319297345</v>
      </c>
      <c r="AP108" s="46"/>
      <c r="AQ108" s="46"/>
      <c r="AR108" s="46"/>
    </row>
    <row r="109" spans="27:44" x14ac:dyDescent="0.2">
      <c r="AB109" s="46"/>
      <c r="AC109" s="46"/>
      <c r="AD109" s="46"/>
      <c r="AE109" s="46"/>
      <c r="AF109" s="46"/>
      <c r="AG109" s="46"/>
      <c r="AH109" s="46"/>
      <c r="AI109" s="46"/>
      <c r="AJ109" s="46"/>
      <c r="AK109" s="46"/>
      <c r="AL109" s="46"/>
      <c r="AM109" s="46"/>
      <c r="AN109" s="46"/>
      <c r="AO109" s="46"/>
      <c r="AP109" s="46"/>
      <c r="AQ109" s="46"/>
      <c r="AR109" s="46"/>
    </row>
    <row r="110" spans="27:44" x14ac:dyDescent="0.2">
      <c r="AB110" s="46"/>
      <c r="AC110" s="46"/>
      <c r="AD110" s="46"/>
      <c r="AE110" s="46"/>
      <c r="AF110" s="46"/>
      <c r="AG110" s="46"/>
      <c r="AH110" s="46"/>
      <c r="AI110" s="46"/>
      <c r="AJ110" s="46"/>
      <c r="AK110" s="46"/>
      <c r="AL110" s="46"/>
      <c r="AM110" s="46"/>
      <c r="AN110" s="46"/>
      <c r="AO110" s="46"/>
      <c r="AP110" s="46"/>
      <c r="AQ110" s="46"/>
      <c r="AR110" s="46"/>
    </row>
    <row r="111" spans="27:44" ht="28.5" x14ac:dyDescent="0.45">
      <c r="AA111" s="368" t="s">
        <v>241</v>
      </c>
      <c r="AB111" s="46"/>
      <c r="AC111" s="46"/>
      <c r="AD111" s="46"/>
      <c r="AE111" s="46"/>
      <c r="AF111" s="46"/>
      <c r="AG111" s="46"/>
      <c r="AH111" s="46"/>
      <c r="AI111" s="46"/>
      <c r="AJ111" s="46"/>
      <c r="AK111" s="46"/>
      <c r="AL111" s="46"/>
      <c r="AM111" s="46"/>
      <c r="AN111" s="46"/>
      <c r="AO111" s="46"/>
      <c r="AP111" s="46"/>
      <c r="AQ111" s="46"/>
      <c r="AR111" s="46"/>
    </row>
    <row r="112" spans="27:44" x14ac:dyDescent="0.2">
      <c r="AA112" t="s">
        <v>1085</v>
      </c>
      <c r="AB112" s="46">
        <f>+DropINTable!AB159</f>
        <v>0</v>
      </c>
      <c r="AC112" s="46">
        <f>+DropINTable!AC159</f>
        <v>639.00311474824684</v>
      </c>
      <c r="AD112" s="46">
        <f>+DropINTable!AD159</f>
        <v>655.30821827977832</v>
      </c>
      <c r="AE112" s="46">
        <f>+DropINTable!AE159</f>
        <v>679.24213394373191</v>
      </c>
      <c r="AF112" s="46">
        <f>+DropINTable!AF159</f>
        <v>722.76136734619229</v>
      </c>
      <c r="AG112" s="46">
        <f>+DropINTable!AG159</f>
        <v>782.86277627396237</v>
      </c>
      <c r="AH112" s="46">
        <f>+DropINTable!AH159</f>
        <v>870.15016494314034</v>
      </c>
      <c r="AI112" s="46">
        <f>+DropINTable!AI159</f>
        <v>944.24127364366586</v>
      </c>
      <c r="AJ112" s="46">
        <f>+DropINTable!AJ159</f>
        <v>1033.2552749268702</v>
      </c>
      <c r="AK112" s="46">
        <f>+DropINTable!AK159</f>
        <v>1080.3822742122229</v>
      </c>
      <c r="AL112" s="46">
        <f>+DropINTable!AL159</f>
        <v>1135.477738782256</v>
      </c>
      <c r="AM112" s="46">
        <f>+DropINTable!AM159</f>
        <v>1267.053307596487</v>
      </c>
      <c r="AN112" s="46">
        <f>+DropINTable!AN159</f>
        <v>1422.5842416174812</v>
      </c>
      <c r="AO112" s="46">
        <f>+DropINTable!AO159</f>
        <v>1459.6556005282434</v>
      </c>
      <c r="AP112" s="46"/>
      <c r="AQ112" s="46"/>
      <c r="AR112" s="46"/>
    </row>
    <row r="113" spans="27:44" x14ac:dyDescent="0.2">
      <c r="AA113" t="s">
        <v>1185</v>
      </c>
      <c r="AB113" s="46">
        <f>IF(DropINTable!AB160-DropINTable!AB159&lt;0,0,+DropINTable!AB160-DropINTable!AB159)</f>
        <v>0</v>
      </c>
      <c r="AC113" s="46">
        <f>IF(DropINTable!AC160-DropINTable!AC159&lt;0,0,+DropINTable!AC160-DropINTable!AC159)</f>
        <v>0</v>
      </c>
      <c r="AD113" s="46">
        <f>IF(DropINTable!AD160-DropINTable!AD159&lt;0,0,+DropINTable!AD160-DropINTable!AD159)</f>
        <v>94.654127361391943</v>
      </c>
      <c r="AE113" s="46">
        <f>IF(DropINTable!AE160-DropINTable!AE159&lt;0,0,+DropINTable!AE160-DropINTable!AE159)</f>
        <v>94.631413105611614</v>
      </c>
      <c r="AF113" s="46">
        <f>IF(DropINTable!AF160-DropINTable!AF159&lt;0,0,+DropINTable!AF160-DropINTable!AF159)</f>
        <v>94.590115004070185</v>
      </c>
      <c r="AG113" s="46">
        <f>IF(DropINTable!AG160-DropINTable!AG159&lt;0,0,+DropINTable!AG160-DropINTable!AG159)</f>
        <v>94.533085310214801</v>
      </c>
      <c r="AH113" s="46">
        <f>IF(DropINTable!AH160-DropINTable!AH159&lt;0,0,+DropINTable!AH160-DropINTable!AH159)</f>
        <v>94.450253400754036</v>
      </c>
      <c r="AI113" s="46">
        <f>IF(DropINTable!AI160-DropINTable!AI159&lt;0,0,+DropINTable!AI160-DropINTable!AI159)</f>
        <v>94.379946434011572</v>
      </c>
      <c r="AJ113" s="46">
        <f>IF(DropINTable!AJ160-DropINTable!AJ159&lt;0,0,+DropINTable!AJ160-DropINTable!AJ159)</f>
        <v>94.295474973172759</v>
      </c>
      <c r="AK113" s="46">
        <f>IF(DropINTable!AK160-DropINTable!AK159&lt;0,0,+DropINTable!AK160-DropINTable!AK159)</f>
        <v>94.250758139402706</v>
      </c>
      <c r="AL113" s="46">
        <f>IF(DropINTable!AL160-DropINTable!AL159&lt;0,0,+DropINTable!AL160-DropINTable!AL159)</f>
        <v>94.198472699089052</v>
      </c>
      <c r="AM113" s="46">
        <f>IF(DropINTable!AM160-DropINTable!AM159&lt;0,0,+DropINTable!AM160-DropINTable!AM159)</f>
        <v>94.073616797497834</v>
      </c>
      <c r="AN113" s="46">
        <f>IF(DropINTable!AN160-DropINTable!AN159&lt;0,0,+DropINTable!AN160-DropINTable!AN159)</f>
        <v>93.926025900191917</v>
      </c>
      <c r="AO113" s="46">
        <f>IF(DropINTable!AO160-DropINTable!AO159&lt;0,0,+DropINTable!AO160-DropINTable!AO159)</f>
        <v>93.890844345278083</v>
      </c>
      <c r="AP113" s="46"/>
      <c r="AQ113" s="46"/>
      <c r="AR113" s="46"/>
    </row>
    <row r="114" spans="27:44" x14ac:dyDescent="0.2">
      <c r="AB114" s="46"/>
      <c r="AC114" s="46"/>
      <c r="AD114" s="46"/>
      <c r="AE114" s="46"/>
      <c r="AF114" s="46"/>
      <c r="AG114" s="46"/>
      <c r="AH114" s="46"/>
      <c r="AI114" s="46"/>
      <c r="AJ114" s="46"/>
      <c r="AK114" s="46"/>
      <c r="AL114" s="46"/>
      <c r="AM114" s="46"/>
      <c r="AN114" s="46"/>
      <c r="AO114" s="46"/>
      <c r="AP114" s="46"/>
      <c r="AQ114" s="46"/>
      <c r="AR114" s="46"/>
    </row>
    <row r="115" spans="27:44" x14ac:dyDescent="0.2">
      <c r="AA115" t="s">
        <v>1096</v>
      </c>
      <c r="AB115" s="46">
        <f>+DropINTable!AB164</f>
        <v>335.21380296192342</v>
      </c>
      <c r="AC115" s="46">
        <f>+DropINTable!AC164</f>
        <v>352.35505789497245</v>
      </c>
      <c r="AD115" s="46">
        <f>+DropINTable!AD164</f>
        <v>368.50338261024626</v>
      </c>
      <c r="AE115" s="46">
        <f>+DropINTable!AE164</f>
        <v>392.20716523448539</v>
      </c>
      <c r="AF115" s="46">
        <f>+DropINTable!AF164</f>
        <v>435.30794597596253</v>
      </c>
      <c r="AG115" s="46">
        <f>+DropINTable!AG164</f>
        <v>494.83146009271485</v>
      </c>
      <c r="AH115" s="46">
        <f>+DropINTable!AH164</f>
        <v>581.27954957498559</v>
      </c>
      <c r="AI115" s="46">
        <f>+DropINTable!AI164</f>
        <v>654.65824767366939</v>
      </c>
      <c r="AJ115" s="46">
        <f>+DropINTable!AJ164</f>
        <v>742.8163480061462</v>
      </c>
      <c r="AK115" s="46">
        <f>+DropINTable!AK164</f>
        <v>789.49020583399022</v>
      </c>
      <c r="AL115" s="46">
        <f>+DropINTable!AL164</f>
        <v>844.05590833767769</v>
      </c>
      <c r="AM115" s="46">
        <f>+DropINTable!AM164</f>
        <v>974.36633301730819</v>
      </c>
      <c r="AN115" s="46">
        <f>+DropINTable!AN164</f>
        <v>1128.4017827659541</v>
      </c>
      <c r="AO115" s="46">
        <f>+DropINTable!AO164</f>
        <v>1165.1166887558652</v>
      </c>
      <c r="AP115" s="46"/>
      <c r="AQ115" s="46"/>
      <c r="AR115" s="46"/>
    </row>
    <row r="116" spans="27:44" x14ac:dyDescent="0.2">
      <c r="AA116" t="s">
        <v>1185</v>
      </c>
      <c r="AB116" s="46">
        <f>IF(DropINTable!AB165-DropINTable!AB164&lt;0,0,+DropINTable!AB165-DropINTable!AB164)</f>
        <v>0</v>
      </c>
      <c r="AC116" s="46">
        <f>IF(DropINTable!AC165-DropINTable!AC164&lt;0,0,+DropINTable!AC165-DropINTable!AC164)</f>
        <v>99.4626733216557</v>
      </c>
      <c r="AD116" s="46">
        <f>IF(DropINTable!AD165-DropINTable!AD164&lt;0,0,+DropINTable!AD165-DropINTable!AD164)</f>
        <v>99.362138729313187</v>
      </c>
      <c r="AE116" s="46">
        <f>IF(DropINTable!AE165-DropINTable!AE164&lt;0,0,+DropINTable!AE165-DropINTable!AE164)</f>
        <v>99.214564070589745</v>
      </c>
      <c r="AF116" s="46">
        <f>IF(DropINTable!AF165-DropINTable!AF164&lt;0,0,+DropINTable!AF165-DropINTable!AF164)</f>
        <v>98.946228605790452</v>
      </c>
      <c r="AG116" s="46">
        <f>IF(DropINTable!AG165-DropINTable!AG164&lt;0,0,+DropINTable!AG165-DropINTable!AG164)</f>
        <v>98.57564904264774</v>
      </c>
      <c r="AH116" s="46">
        <f>IF(DropINTable!AH165-DropINTable!AH164&lt;0,0,+DropINTable!AH165-DropINTable!AH164)</f>
        <v>98.037444582155103</v>
      </c>
      <c r="AI116" s="46">
        <f>IF(DropINTable!AI165-DropINTable!AI164&lt;0,0,+DropINTable!AI165-DropINTable!AI164)</f>
        <v>97.580604117508983</v>
      </c>
      <c r="AJ116" s="46">
        <f>IF(DropINTable!AJ165-DropINTable!AJ164&lt;0,0,+DropINTable!AJ165-DropINTable!AJ164)</f>
        <v>97.031753762325366</v>
      </c>
      <c r="AK116" s="46">
        <f>IF(DropINTable!AK165-DropINTable!AK164&lt;0,0,+DropINTable!AK165-DropINTable!AK164)</f>
        <v>96.741176943952496</v>
      </c>
      <c r="AL116" s="46">
        <f>IF(DropINTable!AL165-DropINTable!AL164&lt;0,0,+DropINTable!AL165-DropINTable!AL164)</f>
        <v>96.401459755022756</v>
      </c>
      <c r="AM116" s="46">
        <f>IF(DropINTable!AM165-DropINTable!AM164&lt;0,0,+DropINTable!AM165-DropINTable!AM164)</f>
        <v>95.590180432135298</v>
      </c>
      <c r="AN116" s="46">
        <f>IF(DropINTable!AN165-DropINTable!AN164&lt;0,0,+DropINTable!AN165-DropINTable!AN164)</f>
        <v>94.631194288122515</v>
      </c>
      <c r="AO116" s="46">
        <f>IF(DropINTable!AO165-DropINTable!AO164&lt;0,0,+DropINTable!AO165-DropINTable!AO164)</f>
        <v>94.402614385692459</v>
      </c>
      <c r="AP116" s="46"/>
      <c r="AQ116" s="46"/>
      <c r="AR116" s="46"/>
    </row>
    <row r="117" spans="27:44" x14ac:dyDescent="0.2">
      <c r="AB117" s="46"/>
      <c r="AC117" s="46"/>
      <c r="AD117" s="46"/>
      <c r="AE117" s="46"/>
      <c r="AF117" s="46"/>
      <c r="AG117" s="46"/>
      <c r="AH117" s="46"/>
      <c r="AI117" s="46"/>
      <c r="AJ117" s="46"/>
      <c r="AK117" s="46"/>
      <c r="AL117" s="46"/>
      <c r="AM117" s="46"/>
      <c r="AN117" s="46"/>
      <c r="AO117" s="46"/>
      <c r="AP117" s="46"/>
      <c r="AQ117" s="46"/>
      <c r="AR117" s="46"/>
    </row>
    <row r="118" spans="27:44" x14ac:dyDescent="0.2">
      <c r="AB118" s="46"/>
      <c r="AC118" s="46"/>
      <c r="AD118" s="46"/>
      <c r="AE118" s="46"/>
      <c r="AF118" s="46"/>
      <c r="AG118" s="46"/>
      <c r="AH118" s="46"/>
      <c r="AI118" s="46"/>
      <c r="AJ118" s="46"/>
      <c r="AK118" s="46"/>
      <c r="AL118" s="46"/>
      <c r="AM118" s="46"/>
      <c r="AN118" s="46"/>
      <c r="AO118" s="46"/>
      <c r="AP118" s="46"/>
      <c r="AQ118" s="46"/>
      <c r="AR118" s="46"/>
    </row>
    <row r="119" spans="27:44" ht="28.5" x14ac:dyDescent="0.45">
      <c r="AA119" s="368" t="s">
        <v>236</v>
      </c>
      <c r="AB119" s="46"/>
      <c r="AC119" s="46"/>
      <c r="AD119" s="46"/>
      <c r="AE119" s="46"/>
      <c r="AF119" s="46"/>
      <c r="AG119" s="46"/>
      <c r="AH119" s="46"/>
      <c r="AI119" s="46"/>
      <c r="AJ119" s="46"/>
      <c r="AK119" s="46"/>
      <c r="AL119" s="46"/>
      <c r="AM119" s="46"/>
      <c r="AN119" s="46"/>
      <c r="AO119" s="46"/>
      <c r="AP119" s="46"/>
      <c r="AQ119" s="46"/>
      <c r="AR119" s="46"/>
    </row>
    <row r="120" spans="27:44" x14ac:dyDescent="0.2">
      <c r="AA120" t="s">
        <v>1085</v>
      </c>
      <c r="AB120" s="46">
        <f>+DropINTable!AB171</f>
        <v>0</v>
      </c>
      <c r="AC120" s="46">
        <f>+DropINTable!AC171</f>
        <v>653.56924075782354</v>
      </c>
      <c r="AD120" s="46">
        <f>+DropINTable!AD171</f>
        <v>669.87434496180617</v>
      </c>
      <c r="AE120" s="46">
        <f>+DropINTable!AE171</f>
        <v>693.80826000515322</v>
      </c>
      <c r="AF120" s="46">
        <f>+DropINTable!AF171</f>
        <v>737.32749264214749</v>
      </c>
      <c r="AG120" s="46">
        <f>+DropINTable!AG171</f>
        <v>797.42890282637961</v>
      </c>
      <c r="AH120" s="46">
        <f>+DropINTable!AH171</f>
        <v>884.7162919713054</v>
      </c>
      <c r="AI120" s="46">
        <f>+DropINTable!AI171</f>
        <v>958.80740020218252</v>
      </c>
      <c r="AJ120" s="46">
        <f>+DropINTable!AJ171</f>
        <v>1047.8214007595664</v>
      </c>
      <c r="AK120" s="46">
        <f>+DropINTable!AK171</f>
        <v>1094.9484009354214</v>
      </c>
      <c r="AL120" s="46">
        <f>+DropINTable!AL171</f>
        <v>1150.0438658958115</v>
      </c>
      <c r="AM120" s="46">
        <f>+DropINTable!AM171</f>
        <v>1281.6194339110302</v>
      </c>
      <c r="AN120" s="46">
        <f>+DropINTable!AN171</f>
        <v>1437.1503676392567</v>
      </c>
      <c r="AO120" s="46">
        <f>+DropINTable!AO171</f>
        <v>1474.2217274161237</v>
      </c>
      <c r="AP120" s="46"/>
      <c r="AQ120" s="46"/>
    </row>
    <row r="121" spans="27:44" x14ac:dyDescent="0.2">
      <c r="AA121" t="s">
        <v>1185</v>
      </c>
      <c r="AB121" s="46">
        <f>IF(DropINTable!AB172-DropINTable!AB171&lt;0,0,+DropINTable!AB172-DropINTable!AB171)</f>
        <v>0</v>
      </c>
      <c r="AC121" s="46">
        <f>IF(DropINTable!AC172-DropINTable!AC171&lt;0,0,+DropINTable!AC172-DropINTable!AC171)</f>
        <v>0</v>
      </c>
      <c r="AD121" s="46">
        <f>IF(DropINTable!AD172-DropINTable!AD171&lt;0,0,+DropINTable!AD172-DropINTable!AD171)</f>
        <v>94.640304249479755</v>
      </c>
      <c r="AE121" s="46">
        <f>IF(DropINTable!AE172-DropINTable!AE171&lt;0,0,+DropINTable!AE172-DropINTable!AE171)</f>
        <v>94.617592237843269</v>
      </c>
      <c r="AF121" s="46">
        <f>IF(DropINTable!AF172-DropINTable!AF171&lt;0,0,+DropINTable!AF172-DropINTable!AF171)</f>
        <v>94.576294770129721</v>
      </c>
      <c r="AG121" s="46">
        <f>IF(DropINTable!AG172-DropINTable!AG171&lt;0,0,+DropINTable!AG172-DropINTable!AG171)</f>
        <v>94.519263264006781</v>
      </c>
      <c r="AH121" s="46">
        <f>IF(DropINTable!AH172-DropINTable!AH171&lt;0,0,+DropINTable!AH172-DropINTable!AH171)</f>
        <v>94.436429679428443</v>
      </c>
      <c r="AI121" s="46">
        <f>IF(DropINTable!AI172-DropINTable!AI171&lt;0,0,+DropINTable!AI172-DropINTable!AI171)</f>
        <v>94.366123240840238</v>
      </c>
      <c r="AJ121" s="46">
        <f>IF(DropINTable!AJ172-DropINTable!AJ171&lt;0,0,+DropINTable!AJ172-DropINTable!AJ171)</f>
        <v>94.281651657487146</v>
      </c>
      <c r="AK121" s="46">
        <f>IF(DropINTable!AK172-DropINTable!AK171&lt;0,0,+DropINTable!AK172-DropINTable!AK171)</f>
        <v>94.236932675339176</v>
      </c>
      <c r="AL121" s="46">
        <f>IF(DropINTable!AL172-DropINTable!AL171&lt;0,0,+DropINTable!AL172-DropINTable!AL171)</f>
        <v>94.18465205168809</v>
      </c>
      <c r="AM121" s="46">
        <f>IF(DropINTable!AM172-DropINTable!AM171&lt;0,0,+DropINTable!AM172-DropINTable!AM171)</f>
        <v>94.059791859101551</v>
      </c>
      <c r="AN121" s="46">
        <f>IF(DropINTable!AN172-DropINTable!AN171&lt;0,0,+DropINTable!AN172-DropINTable!AN171)</f>
        <v>93.912200786516223</v>
      </c>
      <c r="AO121" s="46">
        <f>IF(DropINTable!AO172-DropINTable!AO171&lt;0,0,+DropINTable!AO172-DropINTable!AO171)</f>
        <v>93.877025678727932</v>
      </c>
      <c r="AP121" s="46"/>
      <c r="AQ121" s="46"/>
    </row>
    <row r="122" spans="27:44" x14ac:dyDescent="0.2">
      <c r="AB122" s="46"/>
      <c r="AC122" s="46"/>
      <c r="AD122" s="46"/>
      <c r="AE122" s="46"/>
      <c r="AF122" s="46"/>
      <c r="AG122" s="46"/>
      <c r="AH122" s="46"/>
      <c r="AI122" s="46"/>
      <c r="AJ122" s="46"/>
      <c r="AK122" s="46"/>
      <c r="AL122" s="46"/>
      <c r="AM122" s="46"/>
      <c r="AN122" s="46"/>
      <c r="AO122" s="46"/>
      <c r="AP122" s="46"/>
      <c r="AQ122" s="46"/>
    </row>
    <row r="123" spans="27:44" x14ac:dyDescent="0.2">
      <c r="AA123" t="s">
        <v>1096</v>
      </c>
      <c r="AB123" s="46">
        <f>+DropINTable!AB176</f>
        <v>349.63987097485074</v>
      </c>
      <c r="AC123" s="46">
        <f>+DropINTable!AC176</f>
        <v>366.78112632601665</v>
      </c>
      <c r="AD123" s="46">
        <f>+DropINTable!AD176</f>
        <v>382.92945119194997</v>
      </c>
      <c r="AE123" s="46">
        <f>+DropINTable!AE176</f>
        <v>406.63323312936467</v>
      </c>
      <c r="AF123" s="46">
        <f>+DropINTable!AF176</f>
        <v>449.7340136874663</v>
      </c>
      <c r="AG123" s="46">
        <f>+DropINTable!AG176</f>
        <v>509.25752820597762</v>
      </c>
      <c r="AH123" s="46">
        <f>+DropINTable!AH176</f>
        <v>595.70561805666648</v>
      </c>
      <c r="AI123" s="46">
        <f>+DropINTable!AI176</f>
        <v>669.08431501842233</v>
      </c>
      <c r="AJ123" s="46">
        <f>+DropINTable!AJ176</f>
        <v>757.24241608106684</v>
      </c>
      <c r="AK123" s="46">
        <f>+DropINTable!AK176</f>
        <v>803.91627340212767</v>
      </c>
      <c r="AL123" s="46">
        <f>+DropINTable!AL176</f>
        <v>858.48197655929869</v>
      </c>
      <c r="AM123" s="46">
        <f>+DropINTable!AM176</f>
        <v>988.79240095219689</v>
      </c>
      <c r="AN123" s="46">
        <f>+DropINTable!AN176</f>
        <v>1142.8278510875982</v>
      </c>
      <c r="AO123" s="46">
        <f>+DropINTable!AO176</f>
        <v>1179.5427570241636</v>
      </c>
      <c r="AP123" s="46"/>
      <c r="AQ123" s="46"/>
    </row>
    <row r="124" spans="27:44" x14ac:dyDescent="0.2">
      <c r="AA124" t="s">
        <v>1185</v>
      </c>
      <c r="AB124" s="46">
        <f>IF(DropINTable!AB177-DropINTable!AB176&lt;0,0,+DropINTable!AB177-DropINTable!AB176)</f>
        <v>0</v>
      </c>
      <c r="AC124" s="46">
        <f>IF(DropINTable!AC177-DropINTable!AC176&lt;0,0,+DropINTable!AC177-DropINTable!AC176)</f>
        <v>99.372860589105414</v>
      </c>
      <c r="AD124" s="46">
        <f>IF(DropINTable!AD177-DropINTable!AD176&lt;0,0,+DropINTable!AD177-DropINTable!AD176)</f>
        <v>99.272323802003655</v>
      </c>
      <c r="AE124" s="46">
        <f>IF(DropINTable!AE177-DropINTable!AE176&lt;0,0,+DropINTable!AE177-DropINTable!AE176)</f>
        <v>99.124751107666953</v>
      </c>
      <c r="AF124" s="46">
        <f>IF(DropINTable!AF177-DropINTable!AF176&lt;0,0,+DropINTable!AF177-DropINTable!AF176)</f>
        <v>98.856415354527769</v>
      </c>
      <c r="AG124" s="46">
        <f>IF(DropINTable!AG177-DropINTable!AG176&lt;0,0,+DropINTable!AG177-DropINTable!AG176)</f>
        <v>98.485835035839671</v>
      </c>
      <c r="AH124" s="46">
        <f>IF(DropINTable!AH177-DropINTable!AH176&lt;0,0,+DropINTable!AH177-DropINTable!AH176)</f>
        <v>97.947630875192317</v>
      </c>
      <c r="AI124" s="46">
        <f>IF(DropINTable!AI177-DropINTable!AI176&lt;0,0,+DropINTable!AI177-DropINTable!AI176)</f>
        <v>97.490792648143156</v>
      </c>
      <c r="AJ124" s="46">
        <f>IF(DropINTable!AJ177-DropINTable!AJ176&lt;0,0,+DropINTable!AJ177-DropINTable!AJ176)</f>
        <v>96.941939754549821</v>
      </c>
      <c r="AK124" s="46">
        <f>IF(DropINTable!AK177-DropINTable!AK176&lt;0,0,+DropINTable!AK177-DropINTable!AK176)</f>
        <v>96.651361163002775</v>
      </c>
      <c r="AL124" s="46">
        <f>IF(DropINTable!AL177-DropINTable!AL176&lt;0,0,+DropINTable!AL177-DropINTable!AL176)</f>
        <v>96.311650081842345</v>
      </c>
      <c r="AM124" s="46">
        <f>IF(DropINTable!AM177-DropINTable!AM176&lt;0,0,+DropINTable!AM177-DropINTable!AM176)</f>
        <v>95.500366249914805</v>
      </c>
      <c r="AN124" s="46">
        <f>IF(DropINTable!AN177-DropINTable!AN176&lt;0,0,+DropINTable!AN177-DropINTable!AN176)</f>
        <v>94.54137798952388</v>
      </c>
      <c r="AO124" s="46">
        <f>IF(DropINTable!AO177-DropINTable!AO176&lt;0,0,+DropINTable!AO177-DropINTable!AO176)</f>
        <v>94.312798454916447</v>
      </c>
      <c r="AP124" s="46"/>
      <c r="AQ124" s="46"/>
    </row>
    <row r="125" spans="27:44" x14ac:dyDescent="0.2">
      <c r="AP125" s="46"/>
      <c r="AQ125" s="46"/>
    </row>
    <row r="126" spans="27:44" x14ac:dyDescent="0.2">
      <c r="AP126" s="46"/>
      <c r="AQ126" s="46"/>
    </row>
    <row r="127" spans="27:44" x14ac:dyDescent="0.2">
      <c r="AP127" s="46"/>
      <c r="AQ127" s="46"/>
    </row>
    <row r="128" spans="27:44" x14ac:dyDescent="0.2">
      <c r="AP128" s="46"/>
      <c r="AQ128" s="46"/>
    </row>
    <row r="129" spans="28:43" x14ac:dyDescent="0.2">
      <c r="AB129" s="46"/>
      <c r="AC129" s="46"/>
      <c r="AD129" s="46"/>
      <c r="AE129" s="46"/>
      <c r="AF129" s="46"/>
      <c r="AG129" s="46"/>
      <c r="AH129" s="46"/>
      <c r="AI129" s="46"/>
      <c r="AJ129" s="46"/>
      <c r="AK129" s="46"/>
      <c r="AL129" s="46"/>
      <c r="AM129" s="46"/>
      <c r="AN129" s="46"/>
      <c r="AO129" s="46"/>
      <c r="AP129" s="46"/>
      <c r="AQ129" s="46"/>
    </row>
    <row r="130" spans="28:43" x14ac:dyDescent="0.2">
      <c r="AB130" s="46"/>
      <c r="AC130" s="46"/>
      <c r="AD130" s="46"/>
      <c r="AE130" s="46"/>
      <c r="AF130" s="46"/>
      <c r="AG130" s="46"/>
      <c r="AH130" s="46"/>
      <c r="AI130" s="46"/>
      <c r="AJ130" s="46"/>
      <c r="AK130" s="46"/>
      <c r="AL130" s="46"/>
      <c r="AM130" s="46"/>
      <c r="AN130" s="46"/>
      <c r="AO130" s="46"/>
      <c r="AP130" s="46"/>
      <c r="AQ130" s="46"/>
    </row>
    <row r="131" spans="28:43" x14ac:dyDescent="0.2">
      <c r="AP131" s="46"/>
      <c r="AQ131" s="46"/>
    </row>
    <row r="132" spans="28:43" x14ac:dyDescent="0.2">
      <c r="AP132" s="46"/>
      <c r="AQ132" s="46"/>
    </row>
    <row r="133" spans="28:43" x14ac:dyDescent="0.2">
      <c r="AP133" s="46"/>
      <c r="AQ133" s="46"/>
    </row>
    <row r="134" spans="28:43" x14ac:dyDescent="0.2">
      <c r="AP134" s="46"/>
      <c r="AQ134" s="46"/>
    </row>
    <row r="135" spans="28:43" x14ac:dyDescent="0.2">
      <c r="AP135" s="46"/>
      <c r="AQ135" s="46"/>
    </row>
    <row r="136" spans="28:43" x14ac:dyDescent="0.2">
      <c r="AP136" s="46"/>
      <c r="AQ136" s="46"/>
    </row>
    <row r="137" spans="28:43" x14ac:dyDescent="0.2">
      <c r="AP137" s="46"/>
      <c r="AQ137" s="46"/>
    </row>
    <row r="138" spans="28:43" x14ac:dyDescent="0.2">
      <c r="AP138" s="46"/>
      <c r="AQ138" s="46"/>
    </row>
    <row r="139" spans="28:43" x14ac:dyDescent="0.2">
      <c r="AP139" s="46"/>
      <c r="AQ139" s="46"/>
    </row>
    <row r="140" spans="28:43" x14ac:dyDescent="0.2">
      <c r="AP140" s="46"/>
      <c r="AQ140" s="46"/>
    </row>
    <row r="141" spans="28:43" x14ac:dyDescent="0.2">
      <c r="AP141" s="46"/>
      <c r="AQ141" s="46"/>
    </row>
    <row r="142" spans="28:43" x14ac:dyDescent="0.2">
      <c r="AP142" s="46"/>
      <c r="AQ142" s="46"/>
    </row>
    <row r="143" spans="28:43" x14ac:dyDescent="0.2">
      <c r="AP143" s="46"/>
      <c r="AQ143" s="46"/>
    </row>
    <row r="144" spans="28:43" x14ac:dyDescent="0.2">
      <c r="AP144" s="46"/>
      <c r="AQ144" s="46"/>
    </row>
    <row r="145" spans="42:44" x14ac:dyDescent="0.2">
      <c r="AP145" s="46"/>
      <c r="AQ145" s="46"/>
    </row>
    <row r="146" spans="42:44" x14ac:dyDescent="0.2">
      <c r="AP146" s="46"/>
      <c r="AQ146" s="46"/>
    </row>
    <row r="147" spans="42:44" x14ac:dyDescent="0.2">
      <c r="AP147" s="46"/>
      <c r="AQ147" s="46"/>
    </row>
    <row r="148" spans="42:44" x14ac:dyDescent="0.2">
      <c r="AP148" s="46"/>
      <c r="AQ148" s="46"/>
      <c r="AR148" s="46"/>
    </row>
    <row r="149" spans="42:44" x14ac:dyDescent="0.2">
      <c r="AP149" s="46"/>
      <c r="AQ149" s="46"/>
      <c r="AR149" s="46"/>
    </row>
    <row r="150" spans="42:44" x14ac:dyDescent="0.2">
      <c r="AP150" s="46"/>
      <c r="AQ150" s="46"/>
      <c r="AR150" s="46"/>
    </row>
    <row r="151" spans="42:44" x14ac:dyDescent="0.2">
      <c r="AP151" s="46"/>
      <c r="AQ151" s="46"/>
      <c r="AR151" s="46"/>
    </row>
    <row r="152" spans="42:44" x14ac:dyDescent="0.2">
      <c r="AP152" s="46"/>
      <c r="AQ152" s="46"/>
      <c r="AR152" s="46"/>
    </row>
    <row r="153" spans="42:44" x14ac:dyDescent="0.2">
      <c r="AP153" s="46"/>
      <c r="AQ153" s="46"/>
      <c r="AR153" s="46"/>
    </row>
    <row r="154" spans="42:44" x14ac:dyDescent="0.2">
      <c r="AP154" s="46"/>
      <c r="AQ154" s="46"/>
      <c r="AR154" s="46"/>
    </row>
    <row r="155" spans="42:44" x14ac:dyDescent="0.2">
      <c r="AP155" s="46"/>
      <c r="AQ155" s="46"/>
      <c r="AR155" s="46"/>
    </row>
    <row r="156" spans="42:44" x14ac:dyDescent="0.2">
      <c r="AP156" s="46"/>
      <c r="AQ156" s="46"/>
      <c r="AR156" s="46"/>
    </row>
    <row r="157" spans="42:44" x14ac:dyDescent="0.2">
      <c r="AP157" s="46"/>
      <c r="AQ157" s="46"/>
      <c r="AR157" s="46"/>
    </row>
    <row r="158" spans="42:44" x14ac:dyDescent="0.2">
      <c r="AP158" s="46"/>
      <c r="AQ158" s="46"/>
      <c r="AR158" s="46"/>
    </row>
    <row r="159" spans="42:44" x14ac:dyDescent="0.2">
      <c r="AP159" s="46"/>
      <c r="AQ159" s="46"/>
      <c r="AR159" s="46"/>
    </row>
    <row r="160" spans="42:44" x14ac:dyDescent="0.2">
      <c r="AP160" s="46"/>
      <c r="AQ160" s="46"/>
      <c r="AR160" s="46"/>
    </row>
    <row r="161" spans="42:47" x14ac:dyDescent="0.2">
      <c r="AP161" s="46"/>
      <c r="AQ161" s="46"/>
      <c r="AR161" s="46"/>
    </row>
    <row r="162" spans="42:47" x14ac:dyDescent="0.2">
      <c r="AP162" s="46"/>
      <c r="AQ162" s="46"/>
      <c r="AR162" s="46"/>
    </row>
    <row r="163" spans="42:47" x14ac:dyDescent="0.2">
      <c r="AP163" s="46"/>
      <c r="AQ163" s="46"/>
      <c r="AR163" s="46"/>
      <c r="AS163" s="46"/>
      <c r="AT163" s="46"/>
      <c r="AU163" s="46"/>
    </row>
    <row r="164" spans="42:47" x14ac:dyDescent="0.2">
      <c r="AP164" s="46"/>
      <c r="AQ164" s="46"/>
      <c r="AR164" s="46"/>
      <c r="AS164" s="46"/>
      <c r="AT164" s="46"/>
      <c r="AU164" s="46"/>
    </row>
    <row r="165" spans="42:47" x14ac:dyDescent="0.2">
      <c r="AP165" s="46"/>
      <c r="AQ165" s="46"/>
      <c r="AR165" s="46"/>
      <c r="AS165" s="46"/>
      <c r="AT165" s="46"/>
      <c r="AU165" s="46"/>
    </row>
    <row r="166" spans="42:47" x14ac:dyDescent="0.2">
      <c r="AP166" s="46"/>
      <c r="AQ166" s="46"/>
      <c r="AR166" s="46"/>
      <c r="AS166" s="46"/>
      <c r="AT166" s="46"/>
      <c r="AU166" s="46"/>
    </row>
    <row r="167" spans="42:47" x14ac:dyDescent="0.2">
      <c r="AP167" s="46"/>
      <c r="AQ167" s="46"/>
      <c r="AR167" s="46"/>
      <c r="AS167" s="46"/>
      <c r="AT167" s="46"/>
      <c r="AU167" s="46"/>
    </row>
    <row r="168" spans="42:47" x14ac:dyDescent="0.2">
      <c r="AP168" s="46"/>
      <c r="AQ168" s="46"/>
      <c r="AR168" s="46"/>
      <c r="AS168" s="46"/>
      <c r="AT168" s="46"/>
      <c r="AU168" s="46"/>
    </row>
    <row r="169" spans="42:47" x14ac:dyDescent="0.2">
      <c r="AP169" s="46"/>
      <c r="AQ169" s="46"/>
      <c r="AR169" s="46"/>
      <c r="AS169" s="46"/>
      <c r="AT169" s="46"/>
      <c r="AU169" s="46"/>
    </row>
    <row r="170" spans="42:47" x14ac:dyDescent="0.2">
      <c r="AP170" s="46"/>
      <c r="AQ170" s="46"/>
      <c r="AR170" s="46"/>
      <c r="AS170" s="46"/>
      <c r="AT170" s="46"/>
      <c r="AU170" s="46"/>
    </row>
    <row r="171" spans="42:47" x14ac:dyDescent="0.2">
      <c r="AP171" s="46"/>
      <c r="AQ171" s="46"/>
      <c r="AR171" s="46"/>
      <c r="AS171" s="46"/>
      <c r="AT171" s="46"/>
      <c r="AU171" s="46"/>
    </row>
    <row r="172" spans="42:47" x14ac:dyDescent="0.2">
      <c r="AP172" s="46"/>
      <c r="AQ172" s="46"/>
      <c r="AR172" s="46"/>
    </row>
    <row r="173" spans="42:47" x14ac:dyDescent="0.2">
      <c r="AP173" s="46"/>
      <c r="AQ173" s="46"/>
    </row>
    <row r="174" spans="42:47" x14ac:dyDescent="0.2">
      <c r="AP174" s="46"/>
      <c r="AQ174" s="46"/>
    </row>
    <row r="175" spans="42:47" x14ac:dyDescent="0.2">
      <c r="AP175" s="46"/>
      <c r="AQ175" s="46"/>
    </row>
    <row r="176" spans="42:47" x14ac:dyDescent="0.2">
      <c r="AP176" s="46"/>
      <c r="AQ176" s="46"/>
    </row>
    <row r="177" spans="42:43" x14ac:dyDescent="0.2">
      <c r="AP177" s="46"/>
      <c r="AQ177" s="46"/>
    </row>
    <row r="178" spans="42:43" x14ac:dyDescent="0.2">
      <c r="AP178" s="46"/>
      <c r="AQ178" s="46"/>
    </row>
    <row r="179" spans="42:43" x14ac:dyDescent="0.2">
      <c r="AP179" s="46"/>
      <c r="AQ179" s="46"/>
    </row>
    <row r="180" spans="42:43" x14ac:dyDescent="0.2">
      <c r="AP180" s="46"/>
      <c r="AQ180" s="46"/>
    </row>
    <row r="181" spans="42:43" x14ac:dyDescent="0.2">
      <c r="AP181" s="46"/>
      <c r="AQ181" s="46"/>
    </row>
    <row r="182" spans="42:43" x14ac:dyDescent="0.2">
      <c r="AP182" s="46"/>
      <c r="AQ182" s="46"/>
    </row>
    <row r="183" spans="42:43" x14ac:dyDescent="0.2">
      <c r="AP183" s="46"/>
      <c r="AQ183" s="46"/>
    </row>
    <row r="184" spans="42:43" x14ac:dyDescent="0.2">
      <c r="AP184" s="46"/>
      <c r="AQ184" s="46"/>
    </row>
  </sheetData>
  <sheetProtection algorithmName="SHA-512" hashValue="dGlZ5Kn8TsgG98JscXesReix+41C+uAp+6iZMxa5ABt2VeQ2QolPi7BAtFw1bZa6OUZzW9R/zbW3rnPLJSTIjg==" saltValue="LD+s9t6q0c6TIgRj9CtNlw==" spinCount="100000" sheet="1" objects="1" scenarios="1"/>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N130"/>
  <sheetViews>
    <sheetView workbookViewId="0">
      <selection sqref="A1:XFD1048576"/>
    </sheetView>
  </sheetViews>
  <sheetFormatPr defaultColWidth="9.140625" defaultRowHeight="12.75" x14ac:dyDescent="0.2"/>
  <cols>
    <col min="1" max="1" width="43" style="46" bestFit="1" customWidth="1"/>
    <col min="2" max="2" width="13" customWidth="1"/>
    <col min="3" max="3" width="13" style="46" customWidth="1"/>
    <col min="4" max="6" width="13" customWidth="1"/>
    <col min="9" max="9" width="43" bestFit="1" customWidth="1"/>
    <col min="10" max="14" width="13" customWidth="1"/>
  </cols>
  <sheetData>
    <row r="1" spans="1:14" ht="17.25" thickBot="1" x14ac:dyDescent="0.25">
      <c r="A1" s="1068" t="s">
        <v>1186</v>
      </c>
      <c r="B1" s="1068"/>
      <c r="C1" s="1068"/>
      <c r="D1" s="1068"/>
      <c r="E1" s="1068"/>
      <c r="F1" s="1068"/>
      <c r="I1" s="1068" t="s">
        <v>1187</v>
      </c>
      <c r="J1" s="1068"/>
      <c r="K1" s="1068"/>
      <c r="L1" s="1068"/>
      <c r="M1" s="1068"/>
      <c r="N1" s="1068"/>
    </row>
    <row r="2" spans="1:14" ht="18.75" thickBot="1" x14ac:dyDescent="0.3">
      <c r="A2" s="1065" t="s">
        <v>1188</v>
      </c>
      <c r="B2" s="1065"/>
      <c r="C2" s="1065"/>
      <c r="D2" s="1065"/>
      <c r="E2" s="487"/>
      <c r="F2" s="56"/>
      <c r="I2" s="1065" t="s">
        <v>1189</v>
      </c>
      <c r="J2" s="1065"/>
      <c r="K2" s="1065"/>
      <c r="L2" s="1065"/>
      <c r="M2" s="487"/>
      <c r="N2" s="56"/>
    </row>
    <row r="3" spans="1:14" ht="15" x14ac:dyDescent="0.25">
      <c r="A3" s="486" t="s">
        <v>1190</v>
      </c>
      <c r="B3" s="1069" t="s">
        <v>1191</v>
      </c>
      <c r="C3" s="1069"/>
      <c r="D3" s="1069"/>
      <c r="E3" s="1069"/>
      <c r="F3" s="57"/>
      <c r="I3" s="486" t="s">
        <v>1190</v>
      </c>
      <c r="J3" s="1069" t="s">
        <v>1191</v>
      </c>
      <c r="K3" s="1069"/>
      <c r="L3" s="1069"/>
      <c r="M3" s="1069"/>
      <c r="N3" s="57"/>
    </row>
    <row r="4" spans="1:14" ht="15" x14ac:dyDescent="0.25">
      <c r="A4" s="486"/>
      <c r="B4" s="1067" t="s">
        <v>1192</v>
      </c>
      <c r="C4" s="1067"/>
      <c r="D4" s="1067"/>
      <c r="E4" s="486"/>
      <c r="F4" s="57"/>
      <c r="I4" s="486"/>
      <c r="J4" s="1067" t="s">
        <v>1192</v>
      </c>
      <c r="K4" s="1067"/>
      <c r="L4" s="1067"/>
      <c r="M4" s="486"/>
      <c r="N4" s="57"/>
    </row>
    <row r="5" spans="1:14" ht="15" x14ac:dyDescent="0.25">
      <c r="A5" s="486"/>
      <c r="B5" s="1067" t="s">
        <v>1193</v>
      </c>
      <c r="C5" s="1067"/>
      <c r="D5" s="1067"/>
      <c r="E5" s="486"/>
      <c r="F5" s="57"/>
      <c r="I5" s="486"/>
      <c r="J5" s="1067" t="s">
        <v>1193</v>
      </c>
      <c r="K5" s="1067"/>
      <c r="L5" s="1067"/>
      <c r="M5" s="486"/>
      <c r="N5" s="57"/>
    </row>
    <row r="6" spans="1:14" ht="15" x14ac:dyDescent="0.25">
      <c r="A6" s="486"/>
      <c r="B6" s="1067" t="s">
        <v>1194</v>
      </c>
      <c r="C6" s="1067"/>
      <c r="D6" s="1067"/>
      <c r="E6" s="486"/>
      <c r="F6" s="57"/>
      <c r="I6" s="486"/>
      <c r="J6" s="1067" t="s">
        <v>1194</v>
      </c>
      <c r="K6" s="1067"/>
      <c r="L6" s="1067"/>
      <c r="M6" s="486"/>
      <c r="N6" s="57"/>
    </row>
    <row r="7" spans="1:14" ht="15" x14ac:dyDescent="0.25">
      <c r="A7" s="486"/>
      <c r="B7" s="1067" t="s">
        <v>1195</v>
      </c>
      <c r="C7" s="1067"/>
      <c r="D7" s="1067"/>
      <c r="E7" s="1067"/>
      <c r="F7" s="1067"/>
      <c r="I7" s="486"/>
      <c r="J7" s="1067" t="s">
        <v>1195</v>
      </c>
      <c r="K7" s="1067"/>
      <c r="L7" s="1067"/>
      <c r="M7" s="1067"/>
      <c r="N7" s="1067"/>
    </row>
    <row r="8" spans="1:14" ht="15" x14ac:dyDescent="0.25">
      <c r="A8" s="486"/>
      <c r="B8" s="1067" t="s">
        <v>1196</v>
      </c>
      <c r="C8" s="1067"/>
      <c r="D8" s="1067"/>
      <c r="E8" s="1067"/>
      <c r="F8" s="1067"/>
      <c r="I8" s="486"/>
      <c r="J8" s="1067" t="s">
        <v>1196</v>
      </c>
      <c r="K8" s="1067"/>
      <c r="L8" s="1067"/>
      <c r="M8" s="1067"/>
      <c r="N8" s="1067"/>
    </row>
    <row r="9" spans="1:14" ht="15" x14ac:dyDescent="0.25">
      <c r="A9" s="486"/>
      <c r="B9" s="1067" t="s">
        <v>1197</v>
      </c>
      <c r="C9" s="1067"/>
      <c r="D9" s="1067"/>
      <c r="E9" s="1067"/>
      <c r="F9" s="1067"/>
      <c r="I9" s="486"/>
      <c r="J9" s="1067" t="s">
        <v>1197</v>
      </c>
      <c r="K9" s="1067"/>
      <c r="L9" s="1067"/>
      <c r="M9" s="1067"/>
      <c r="N9" s="1067"/>
    </row>
    <row r="10" spans="1:14" ht="15" x14ac:dyDescent="0.25">
      <c r="A10" s="486"/>
      <c r="B10" s="1067" t="s">
        <v>1198</v>
      </c>
      <c r="C10" s="1067"/>
      <c r="D10" s="1067"/>
      <c r="E10" s="1067"/>
      <c r="F10" s="1067"/>
      <c r="I10" s="486"/>
      <c r="J10" s="1067" t="s">
        <v>1198</v>
      </c>
      <c r="K10" s="1067"/>
      <c r="L10" s="1067"/>
      <c r="M10" s="1067"/>
      <c r="N10" s="1067"/>
    </row>
    <row r="11" spans="1:14" ht="15" x14ac:dyDescent="0.25">
      <c r="A11" s="486"/>
      <c r="B11" s="1067" t="s">
        <v>1199</v>
      </c>
      <c r="C11" s="1067"/>
      <c r="D11" s="1067"/>
      <c r="E11" s="1067"/>
      <c r="F11" s="1067"/>
      <c r="I11" s="486"/>
      <c r="J11" s="1067" t="s">
        <v>1199</v>
      </c>
      <c r="K11" s="1067"/>
      <c r="L11" s="1067"/>
      <c r="M11" s="1067"/>
      <c r="N11" s="1067"/>
    </row>
    <row r="12" spans="1:14" ht="15" x14ac:dyDescent="0.25">
      <c r="A12" s="486"/>
      <c r="B12" s="1067" t="s">
        <v>1200</v>
      </c>
      <c r="C12" s="1067"/>
      <c r="D12" s="1067"/>
      <c r="E12" s="1067"/>
      <c r="F12" s="1067"/>
      <c r="I12" s="486"/>
      <c r="J12" s="1067" t="s">
        <v>1200</v>
      </c>
      <c r="K12" s="1067"/>
      <c r="L12" s="1067"/>
      <c r="M12" s="1067"/>
      <c r="N12" s="1067"/>
    </row>
    <row r="13" spans="1:14" ht="15.75" thickBot="1" x14ac:dyDescent="0.3">
      <c r="A13" s="487"/>
      <c r="B13" s="1066" t="s">
        <v>1201</v>
      </c>
      <c r="C13" s="1066"/>
      <c r="D13" s="1066"/>
      <c r="E13" s="487"/>
      <c r="F13" s="56"/>
      <c r="I13" s="487"/>
      <c r="J13" s="1066" t="s">
        <v>1201</v>
      </c>
      <c r="K13" s="1066"/>
      <c r="L13" s="1066"/>
      <c r="M13" s="487"/>
      <c r="N13" s="56"/>
    </row>
    <row r="14" spans="1:14" ht="15" x14ac:dyDescent="0.25">
      <c r="A14" s="486"/>
      <c r="B14" s="486"/>
      <c r="C14" s="486"/>
      <c r="D14" s="486"/>
      <c r="E14" s="486"/>
      <c r="F14" s="57"/>
      <c r="I14" s="486"/>
      <c r="J14" s="486"/>
      <c r="K14" s="486"/>
      <c r="L14" s="486"/>
      <c r="M14" s="486"/>
      <c r="N14" s="57"/>
    </row>
    <row r="15" spans="1:14" ht="15.75" thickBot="1" x14ac:dyDescent="0.3">
      <c r="A15" s="487"/>
      <c r="B15" s="58" t="s">
        <v>1202</v>
      </c>
      <c r="C15" s="58" t="s">
        <v>1203</v>
      </c>
      <c r="D15" s="58" t="s">
        <v>1204</v>
      </c>
      <c r="E15" s="59" t="s">
        <v>1205</v>
      </c>
      <c r="F15" s="59" t="s">
        <v>1206</v>
      </c>
      <c r="I15" s="487"/>
      <c r="J15" s="58" t="s">
        <v>1202</v>
      </c>
      <c r="K15" s="58" t="s">
        <v>1203</v>
      </c>
      <c r="L15" s="58" t="s">
        <v>1204</v>
      </c>
      <c r="M15" s="59" t="s">
        <v>1205</v>
      </c>
      <c r="N15" s="59" t="s">
        <v>1206</v>
      </c>
    </row>
    <row r="16" spans="1:14" ht="15" x14ac:dyDescent="0.25">
      <c r="A16" s="486"/>
      <c r="B16" s="486"/>
      <c r="C16" s="486"/>
      <c r="D16" s="486"/>
      <c r="E16" s="486"/>
      <c r="F16" s="57"/>
      <c r="G16" s="60"/>
      <c r="H16" s="60"/>
      <c r="I16" s="486"/>
      <c r="J16" s="486"/>
      <c r="K16" s="486"/>
      <c r="L16" s="486"/>
      <c r="M16" s="486"/>
      <c r="N16" s="57"/>
    </row>
    <row r="17" spans="1:14" ht="15" x14ac:dyDescent="0.25">
      <c r="A17" s="61" t="s">
        <v>1207</v>
      </c>
      <c r="B17" s="62">
        <v>22572.2</v>
      </c>
      <c r="C17" s="60" t="s">
        <v>1208</v>
      </c>
      <c r="D17" s="62" t="s">
        <v>1209</v>
      </c>
      <c r="E17" s="63">
        <v>22.8</v>
      </c>
      <c r="F17" s="64">
        <v>0</v>
      </c>
      <c r="G17" s="60"/>
      <c r="H17" s="60"/>
      <c r="I17" s="486" t="str">
        <f>A17</f>
        <v>Constant</v>
      </c>
      <c r="J17" s="62">
        <v>8378</v>
      </c>
      <c r="K17" s="60" t="s">
        <v>1208</v>
      </c>
      <c r="L17" s="62" t="s">
        <v>1210</v>
      </c>
      <c r="M17" s="63">
        <v>11.3</v>
      </c>
      <c r="N17" s="64">
        <v>0</v>
      </c>
    </row>
    <row r="18" spans="1:14" ht="15" x14ac:dyDescent="0.25">
      <c r="A18" s="61"/>
      <c r="B18" s="62"/>
      <c r="C18" s="60"/>
      <c r="D18" s="62"/>
      <c r="E18" s="63"/>
      <c r="F18" s="64"/>
      <c r="G18" s="60"/>
      <c r="H18" s="60"/>
      <c r="I18" s="486"/>
      <c r="J18" s="62"/>
      <c r="K18" s="60"/>
      <c r="L18" s="62"/>
      <c r="M18" s="63"/>
      <c r="N18" s="64"/>
    </row>
    <row r="19" spans="1:14" ht="15" x14ac:dyDescent="0.25">
      <c r="A19" s="61" t="s">
        <v>1211</v>
      </c>
      <c r="B19" s="62"/>
      <c r="C19" s="60"/>
      <c r="D19" s="62"/>
      <c r="E19" s="63"/>
      <c r="F19" s="64"/>
      <c r="G19" s="60"/>
      <c r="H19" s="60"/>
      <c r="I19" s="486" t="str">
        <f>A19</f>
        <v>Family Type</v>
      </c>
      <c r="J19" s="62"/>
      <c r="K19" s="60"/>
      <c r="L19" s="62"/>
      <c r="M19" s="63"/>
      <c r="N19" s="64"/>
    </row>
    <row r="20" spans="1:14" ht="15" x14ac:dyDescent="0.25">
      <c r="A20" s="61" t="s">
        <v>1212</v>
      </c>
      <c r="B20" s="62"/>
      <c r="C20" s="60"/>
      <c r="D20" s="62"/>
      <c r="E20" s="63"/>
      <c r="F20" s="64"/>
      <c r="G20" s="60"/>
      <c r="H20" s="60"/>
      <c r="I20" s="486" t="str">
        <f t="shared" ref="I20:I83" si="0">A20</f>
        <v>[REF: Couple without dependents]</v>
      </c>
      <c r="J20" s="62"/>
      <c r="K20" s="60"/>
      <c r="L20" s="62"/>
      <c r="M20" s="63"/>
      <c r="N20" s="64"/>
    </row>
    <row r="21" spans="1:14" ht="15" x14ac:dyDescent="0.25">
      <c r="A21" s="61" t="s">
        <v>250</v>
      </c>
      <c r="B21" s="62">
        <v>-6182.7</v>
      </c>
      <c r="C21" s="60" t="s">
        <v>1208</v>
      </c>
      <c r="D21" s="62" t="s">
        <v>1213</v>
      </c>
      <c r="E21" s="63">
        <v>-15.4</v>
      </c>
      <c r="F21" s="64">
        <v>0</v>
      </c>
      <c r="G21" s="60"/>
      <c r="H21" s="60"/>
      <c r="I21" s="486" t="str">
        <f t="shared" si="0"/>
        <v>Single</v>
      </c>
      <c r="J21" s="62">
        <v>-1692.1</v>
      </c>
      <c r="K21" s="60" t="s">
        <v>1208</v>
      </c>
      <c r="L21" s="62" t="s">
        <v>1214</v>
      </c>
      <c r="M21" s="63">
        <v>-5.6</v>
      </c>
      <c r="N21" s="64">
        <v>0</v>
      </c>
    </row>
    <row r="22" spans="1:14" ht="15" x14ac:dyDescent="0.25">
      <c r="A22" s="61" t="s">
        <v>1215</v>
      </c>
      <c r="B22" s="62">
        <v>1241.5</v>
      </c>
      <c r="C22" s="60" t="s">
        <v>76</v>
      </c>
      <c r="D22" s="62" t="s">
        <v>1216</v>
      </c>
      <c r="E22" s="63">
        <v>0.6</v>
      </c>
      <c r="F22" s="64">
        <v>0.52</v>
      </c>
      <c r="G22" s="60"/>
      <c r="H22" s="60"/>
      <c r="I22" s="486" t="str">
        <f t="shared" si="0"/>
        <v>Couple with 1 dependent</v>
      </c>
      <c r="J22" s="62">
        <v>1216.8</v>
      </c>
      <c r="K22" s="60" t="s">
        <v>76</v>
      </c>
      <c r="L22" s="62" t="s">
        <v>1217</v>
      </c>
      <c r="M22" s="63">
        <v>0.8</v>
      </c>
      <c r="N22" s="64">
        <v>0.4</v>
      </c>
    </row>
    <row r="23" spans="1:14" ht="15" x14ac:dyDescent="0.25">
      <c r="A23" s="61" t="s">
        <v>1218</v>
      </c>
      <c r="B23" s="62">
        <v>376.3</v>
      </c>
      <c r="C23" s="60" t="s">
        <v>76</v>
      </c>
      <c r="D23" s="62" t="s">
        <v>1219</v>
      </c>
      <c r="E23" s="63">
        <v>0.1</v>
      </c>
      <c r="F23" s="64">
        <v>0.92</v>
      </c>
      <c r="G23" s="60"/>
      <c r="H23" s="60"/>
      <c r="I23" s="486" t="str">
        <f t="shared" si="0"/>
        <v>Couple with 2 dependents</v>
      </c>
      <c r="J23" s="62">
        <v>2893.2</v>
      </c>
      <c r="K23" s="60" t="s">
        <v>76</v>
      </c>
      <c r="L23" s="62" t="s">
        <v>1220</v>
      </c>
      <c r="M23" s="63">
        <v>1</v>
      </c>
      <c r="N23" s="64">
        <v>0.28999999999999998</v>
      </c>
    </row>
    <row r="24" spans="1:14" ht="15" x14ac:dyDescent="0.25">
      <c r="A24" s="61" t="s">
        <v>1221</v>
      </c>
      <c r="B24" s="62">
        <v>80.900000000000006</v>
      </c>
      <c r="C24" s="60" t="s">
        <v>76</v>
      </c>
      <c r="D24" s="62" t="s">
        <v>1222</v>
      </c>
      <c r="E24" s="63">
        <v>0</v>
      </c>
      <c r="F24" s="64">
        <v>0.99</v>
      </c>
      <c r="G24" s="60"/>
      <c r="H24" s="60"/>
      <c r="I24" s="486" t="str">
        <f t="shared" si="0"/>
        <v>Couple with 3 dependents</v>
      </c>
      <c r="J24" s="62">
        <v>5421.7</v>
      </c>
      <c r="K24" s="60" t="s">
        <v>76</v>
      </c>
      <c r="L24" s="62" t="s">
        <v>1223</v>
      </c>
      <c r="M24" s="63">
        <v>1.3</v>
      </c>
      <c r="N24" s="64">
        <v>0.19</v>
      </c>
    </row>
    <row r="25" spans="1:14" ht="15" x14ac:dyDescent="0.25">
      <c r="A25" s="61" t="s">
        <v>1224</v>
      </c>
      <c r="B25" s="62">
        <v>-2106.8000000000002</v>
      </c>
      <c r="C25" s="60" t="s">
        <v>76</v>
      </c>
      <c r="D25" s="62" t="s">
        <v>1225</v>
      </c>
      <c r="E25" s="63">
        <v>-0.3</v>
      </c>
      <c r="F25" s="64">
        <v>0.78</v>
      </c>
      <c r="G25" s="60"/>
      <c r="H25" s="60"/>
      <c r="I25" s="486" t="str">
        <f t="shared" si="0"/>
        <v>Couple with 4 or more dependents</v>
      </c>
      <c r="J25" s="62">
        <v>5649.9</v>
      </c>
      <c r="K25" s="60" t="s">
        <v>76</v>
      </c>
      <c r="L25" s="62" t="s">
        <v>1226</v>
      </c>
      <c r="M25" s="63">
        <v>1</v>
      </c>
      <c r="N25" s="64">
        <v>0.31</v>
      </c>
    </row>
    <row r="26" spans="1:14" ht="15" x14ac:dyDescent="0.25">
      <c r="A26" s="61" t="s">
        <v>1227</v>
      </c>
      <c r="B26" s="62">
        <v>-4998.1000000000004</v>
      </c>
      <c r="C26" s="60" t="s">
        <v>1228</v>
      </c>
      <c r="D26" s="62" t="s">
        <v>1229</v>
      </c>
      <c r="E26" s="63">
        <v>-2.5</v>
      </c>
      <c r="F26" s="64">
        <v>0.01</v>
      </c>
      <c r="G26" s="60"/>
      <c r="H26" s="60"/>
      <c r="I26" s="486" t="str">
        <f t="shared" si="0"/>
        <v>Lone parent with 1 dependent</v>
      </c>
      <c r="J26" s="62">
        <v>227.3</v>
      </c>
      <c r="K26" s="60" t="s">
        <v>76</v>
      </c>
      <c r="L26" s="62" t="s">
        <v>1230</v>
      </c>
      <c r="M26" s="63">
        <v>0.1</v>
      </c>
      <c r="N26" s="64">
        <v>0.88</v>
      </c>
    </row>
    <row r="27" spans="1:14" ht="15" x14ac:dyDescent="0.25">
      <c r="A27" s="61" t="s">
        <v>1231</v>
      </c>
      <c r="B27" s="62">
        <v>-4191.2</v>
      </c>
      <c r="C27" s="60"/>
      <c r="D27" s="62" t="s">
        <v>1232</v>
      </c>
      <c r="E27" s="63">
        <v>-1.1000000000000001</v>
      </c>
      <c r="F27" s="64">
        <v>0.27</v>
      </c>
      <c r="G27" s="60"/>
      <c r="H27" s="60"/>
      <c r="I27" s="486" t="str">
        <f t="shared" si="0"/>
        <v>Lone parent with 2 dependents</v>
      </c>
      <c r="J27" s="62">
        <v>2979.5</v>
      </c>
      <c r="K27" s="60"/>
      <c r="L27" s="62" t="s">
        <v>1233</v>
      </c>
      <c r="M27" s="63">
        <v>1.1000000000000001</v>
      </c>
      <c r="N27" s="64">
        <v>0.28999999999999998</v>
      </c>
    </row>
    <row r="28" spans="1:14" ht="15" x14ac:dyDescent="0.25">
      <c r="A28" s="61" t="s">
        <v>1234</v>
      </c>
      <c r="B28" s="62">
        <v>-7085.4</v>
      </c>
      <c r="C28" s="60"/>
      <c r="D28" s="62" t="s">
        <v>1235</v>
      </c>
      <c r="E28" s="63">
        <v>-1.1000000000000001</v>
      </c>
      <c r="F28" s="64">
        <v>0.26</v>
      </c>
      <c r="G28" s="60"/>
      <c r="H28" s="60"/>
      <c r="I28" s="486" t="str">
        <f t="shared" si="0"/>
        <v>Lone parent with 3 or more dependents</v>
      </c>
      <c r="J28" s="62">
        <v>5183.2</v>
      </c>
      <c r="K28" s="60"/>
      <c r="L28" s="62" t="s">
        <v>1236</v>
      </c>
      <c r="M28" s="63">
        <v>1.1000000000000001</v>
      </c>
      <c r="N28" s="64">
        <v>0.27</v>
      </c>
    </row>
    <row r="29" spans="1:14" ht="15" x14ac:dyDescent="0.25">
      <c r="A29" s="61"/>
      <c r="B29" s="62" t="s">
        <v>76</v>
      </c>
      <c r="C29" s="60" t="s">
        <v>76</v>
      </c>
      <c r="D29" s="62" t="s">
        <v>76</v>
      </c>
      <c r="E29" s="63" t="s">
        <v>76</v>
      </c>
      <c r="F29" s="64" t="s">
        <v>76</v>
      </c>
      <c r="G29" s="60"/>
      <c r="H29" s="60"/>
      <c r="I29" s="486"/>
      <c r="J29" s="62" t="s">
        <v>76</v>
      </c>
      <c r="K29" s="60" t="s">
        <v>76</v>
      </c>
      <c r="L29" s="62" t="s">
        <v>76</v>
      </c>
      <c r="M29" s="63" t="s">
        <v>76</v>
      </c>
      <c r="N29" s="64" t="s">
        <v>76</v>
      </c>
    </row>
    <row r="30" spans="1:14" ht="15" x14ac:dyDescent="0.25">
      <c r="A30" s="61"/>
      <c r="B30" s="62"/>
      <c r="C30" s="60"/>
      <c r="D30" s="62"/>
      <c r="E30" s="63"/>
      <c r="F30" s="64"/>
      <c r="G30" s="60"/>
      <c r="H30" s="60"/>
      <c r="I30" s="486"/>
      <c r="J30" s="62"/>
      <c r="K30" s="60"/>
      <c r="L30" s="62"/>
      <c r="M30" s="63"/>
      <c r="N30" s="64"/>
    </row>
    <row r="31" spans="1:14" ht="15" x14ac:dyDescent="0.25">
      <c r="A31" s="61" t="s">
        <v>1237</v>
      </c>
      <c r="B31" s="62" t="s">
        <v>76</v>
      </c>
      <c r="C31" s="60" t="s">
        <v>76</v>
      </c>
      <c r="D31" s="62" t="s">
        <v>76</v>
      </c>
      <c r="E31" s="63" t="s">
        <v>76</v>
      </c>
      <c r="F31" s="64" t="s">
        <v>76</v>
      </c>
      <c r="G31" s="60"/>
      <c r="H31" s="60"/>
      <c r="I31" s="486" t="str">
        <f t="shared" si="0"/>
        <v>Number of dependent children in household</v>
      </c>
      <c r="J31" s="62" t="s">
        <v>76</v>
      </c>
      <c r="K31" s="60" t="s">
        <v>76</v>
      </c>
      <c r="L31" s="62" t="s">
        <v>76</v>
      </c>
      <c r="M31" s="63" t="s">
        <v>76</v>
      </c>
      <c r="N31" s="64" t="s">
        <v>76</v>
      </c>
    </row>
    <row r="32" spans="1:14" ht="15" x14ac:dyDescent="0.25">
      <c r="A32" s="61" t="s">
        <v>1238</v>
      </c>
      <c r="B32" s="62">
        <v>2395</v>
      </c>
      <c r="C32" s="60" t="s">
        <v>76</v>
      </c>
      <c r="D32" s="62" t="s">
        <v>1239</v>
      </c>
      <c r="E32" s="63">
        <v>1.3</v>
      </c>
      <c r="F32" s="64">
        <v>0.19</v>
      </c>
      <c r="G32" s="60"/>
      <c r="H32" s="60"/>
      <c r="I32" s="486" t="str">
        <f t="shared" si="0"/>
        <v>aged 0 to 14 years</v>
      </c>
      <c r="J32" s="62">
        <v>-1457.2</v>
      </c>
      <c r="K32" s="60" t="s">
        <v>76</v>
      </c>
      <c r="L32" s="62" t="s">
        <v>1240</v>
      </c>
      <c r="M32" s="63">
        <v>-1.1000000000000001</v>
      </c>
      <c r="N32" s="64">
        <v>0.28999999999999998</v>
      </c>
    </row>
    <row r="33" spans="1:14" ht="15" x14ac:dyDescent="0.25">
      <c r="A33" s="61" t="s">
        <v>1241</v>
      </c>
      <c r="B33" s="62">
        <v>5037.2</v>
      </c>
      <c r="C33" s="60" t="s">
        <v>1208</v>
      </c>
      <c r="D33" s="62" t="s">
        <v>1242</v>
      </c>
      <c r="E33" s="63">
        <v>2.7</v>
      </c>
      <c r="F33" s="64">
        <v>0.01</v>
      </c>
      <c r="G33" s="60"/>
      <c r="H33" s="60"/>
      <c r="I33" s="486" t="str">
        <f t="shared" si="0"/>
        <v>aged 15 to 24 years</v>
      </c>
      <c r="J33" s="62">
        <v>-468.3</v>
      </c>
      <c r="K33" s="60" t="s">
        <v>76</v>
      </c>
      <c r="L33" s="62" t="s">
        <v>1243</v>
      </c>
      <c r="M33" s="63">
        <v>-0.3</v>
      </c>
      <c r="N33" s="64">
        <v>0.74</v>
      </c>
    </row>
    <row r="34" spans="1:14" ht="15" x14ac:dyDescent="0.25">
      <c r="A34" s="61"/>
      <c r="B34" s="62"/>
      <c r="C34" s="60"/>
      <c r="D34" s="62"/>
      <c r="E34" s="63"/>
      <c r="F34" s="64"/>
      <c r="G34" s="60"/>
      <c r="H34" s="60"/>
      <c r="I34" s="486"/>
      <c r="J34" s="62"/>
      <c r="K34" s="60"/>
      <c r="L34" s="62"/>
      <c r="M34" s="63"/>
      <c r="N34" s="64"/>
    </row>
    <row r="35" spans="1:14" ht="15" x14ac:dyDescent="0.25">
      <c r="A35" s="61" t="s">
        <v>1244</v>
      </c>
      <c r="B35" s="62" t="s">
        <v>76</v>
      </c>
      <c r="C35" s="60" t="s">
        <v>76</v>
      </c>
      <c r="D35" s="62" t="s">
        <v>76</v>
      </c>
      <c r="E35" s="63" t="s">
        <v>76</v>
      </c>
      <c r="F35" s="64" t="s">
        <v>76</v>
      </c>
      <c r="G35" s="60"/>
      <c r="H35" s="60"/>
      <c r="I35" s="486" t="str">
        <f t="shared" si="0"/>
        <v>Household Reference Person Characteristics</v>
      </c>
      <c r="J35" s="62" t="s">
        <v>76</v>
      </c>
      <c r="K35" s="60" t="s">
        <v>76</v>
      </c>
      <c r="L35" s="62" t="s">
        <v>76</v>
      </c>
      <c r="M35" s="63" t="s">
        <v>76</v>
      </c>
      <c r="N35" s="64" t="s">
        <v>76</v>
      </c>
    </row>
    <row r="36" spans="1:14" ht="15" x14ac:dyDescent="0.25">
      <c r="A36" s="61" t="s">
        <v>2</v>
      </c>
      <c r="B36" s="62" t="s">
        <v>76</v>
      </c>
      <c r="C36" s="60" t="s">
        <v>76</v>
      </c>
      <c r="D36" s="62" t="s">
        <v>76</v>
      </c>
      <c r="E36" s="63" t="s">
        <v>76</v>
      </c>
      <c r="F36" s="64" t="s">
        <v>76</v>
      </c>
      <c r="G36" s="60"/>
      <c r="H36" s="60"/>
      <c r="I36" s="486" t="str">
        <f t="shared" si="0"/>
        <v>Age</v>
      </c>
      <c r="J36" s="62" t="s">
        <v>76</v>
      </c>
      <c r="K36" s="60" t="s">
        <v>76</v>
      </c>
      <c r="L36" s="62" t="s">
        <v>76</v>
      </c>
      <c r="M36" s="63" t="s">
        <v>76</v>
      </c>
      <c r="N36" s="64" t="s">
        <v>76</v>
      </c>
    </row>
    <row r="37" spans="1:14" ht="15" x14ac:dyDescent="0.25">
      <c r="A37" s="61" t="s">
        <v>1245</v>
      </c>
      <c r="B37" s="62" t="s">
        <v>76</v>
      </c>
      <c r="C37" s="60" t="s">
        <v>76</v>
      </c>
      <c r="D37" s="62" t="s">
        <v>76</v>
      </c>
      <c r="E37" s="63" t="s">
        <v>76</v>
      </c>
      <c r="F37" s="64" t="s">
        <v>76</v>
      </c>
      <c r="G37" s="60"/>
      <c r="H37" s="60"/>
      <c r="I37" s="486" t="str">
        <f t="shared" si="0"/>
        <v>[REF: 35 to 39]</v>
      </c>
      <c r="J37" s="62" t="s">
        <v>76</v>
      </c>
      <c r="K37" s="60" t="s">
        <v>76</v>
      </c>
      <c r="L37" s="62" t="s">
        <v>76</v>
      </c>
      <c r="M37" s="63" t="s">
        <v>76</v>
      </c>
      <c r="N37" s="64" t="s">
        <v>76</v>
      </c>
    </row>
    <row r="38" spans="1:14" ht="15" x14ac:dyDescent="0.25">
      <c r="A38" s="61" t="s">
        <v>1246</v>
      </c>
      <c r="B38" s="62">
        <v>2243</v>
      </c>
      <c r="C38" s="60" t="s">
        <v>1228</v>
      </c>
      <c r="D38" s="62" t="s">
        <v>1247</v>
      </c>
      <c r="E38" s="63">
        <v>2.1</v>
      </c>
      <c r="F38" s="64">
        <v>0.03</v>
      </c>
      <c r="G38" s="60"/>
      <c r="H38" s="60"/>
      <c r="I38" s="486" t="str">
        <f t="shared" si="0"/>
        <v>24 or younger</v>
      </c>
      <c r="J38" s="62">
        <v>1158.0999999999999</v>
      </c>
      <c r="K38" s="60" t="s">
        <v>76</v>
      </c>
      <c r="L38" s="62" t="s">
        <v>1248</v>
      </c>
      <c r="M38" s="63">
        <v>1.5</v>
      </c>
      <c r="N38" s="64">
        <v>0.15</v>
      </c>
    </row>
    <row r="39" spans="1:14" ht="15" x14ac:dyDescent="0.25">
      <c r="A39" s="61" t="s">
        <v>1249</v>
      </c>
      <c r="B39" s="62">
        <v>1640.8</v>
      </c>
      <c r="C39" s="60" t="s">
        <v>1228</v>
      </c>
      <c r="D39" s="62" t="s">
        <v>1250</v>
      </c>
      <c r="E39" s="63">
        <v>2.1</v>
      </c>
      <c r="F39" s="64">
        <v>0.03</v>
      </c>
      <c r="G39" s="60"/>
      <c r="H39" s="60"/>
      <c r="I39" s="486" t="str">
        <f t="shared" si="0"/>
        <v>25 to 29</v>
      </c>
      <c r="J39" s="62">
        <v>154.19999999999999</v>
      </c>
      <c r="K39" s="60" t="s">
        <v>76</v>
      </c>
      <c r="L39" s="62" t="s">
        <v>1251</v>
      </c>
      <c r="M39" s="63">
        <v>0.3</v>
      </c>
      <c r="N39" s="64">
        <v>0.79</v>
      </c>
    </row>
    <row r="40" spans="1:14" ht="15" x14ac:dyDescent="0.25">
      <c r="A40" s="61" t="s">
        <v>1252</v>
      </c>
      <c r="B40" s="62">
        <v>615.6</v>
      </c>
      <c r="C40" s="60" t="s">
        <v>76</v>
      </c>
      <c r="D40" s="62" t="s">
        <v>1253</v>
      </c>
      <c r="E40" s="63">
        <v>0.9</v>
      </c>
      <c r="F40" s="64">
        <v>0.35</v>
      </c>
      <c r="G40" s="60"/>
      <c r="H40" s="60"/>
      <c r="I40" s="486" t="str">
        <f t="shared" si="0"/>
        <v>30 to 34</v>
      </c>
      <c r="J40" s="62">
        <v>-48.6</v>
      </c>
      <c r="K40" s="60" t="s">
        <v>76</v>
      </c>
      <c r="L40" s="62" t="s">
        <v>1254</v>
      </c>
      <c r="M40" s="63">
        <v>-0.1</v>
      </c>
      <c r="N40" s="64">
        <v>0.92</v>
      </c>
    </row>
    <row r="41" spans="1:14" ht="15" x14ac:dyDescent="0.25">
      <c r="A41" s="61" t="s">
        <v>1255</v>
      </c>
      <c r="B41" s="62">
        <v>1436.4</v>
      </c>
      <c r="C41" s="60" t="s">
        <v>1228</v>
      </c>
      <c r="D41" s="62" t="s">
        <v>1256</v>
      </c>
      <c r="E41" s="63">
        <v>2.2999999999999998</v>
      </c>
      <c r="F41" s="64">
        <v>0.02</v>
      </c>
      <c r="G41" s="60"/>
      <c r="H41" s="60"/>
      <c r="I41" s="486" t="str">
        <f t="shared" si="0"/>
        <v>40 to 44</v>
      </c>
      <c r="J41" s="62">
        <v>301.3</v>
      </c>
      <c r="K41" s="60" t="s">
        <v>76</v>
      </c>
      <c r="L41" s="62" t="s">
        <v>1257</v>
      </c>
      <c r="M41" s="63">
        <v>0.6</v>
      </c>
      <c r="N41" s="64">
        <v>0.53</v>
      </c>
    </row>
    <row r="42" spans="1:14" ht="15" x14ac:dyDescent="0.25">
      <c r="A42" s="61" t="s">
        <v>1258</v>
      </c>
      <c r="B42" s="62">
        <v>1293</v>
      </c>
      <c r="C42" s="60" t="s">
        <v>1259</v>
      </c>
      <c r="D42" s="62" t="s">
        <v>1260</v>
      </c>
      <c r="E42" s="63">
        <v>1.9</v>
      </c>
      <c r="F42" s="64">
        <v>0.05</v>
      </c>
      <c r="G42" s="60"/>
      <c r="H42" s="60"/>
      <c r="I42" s="486" t="str">
        <f t="shared" si="0"/>
        <v>45 to 49</v>
      </c>
      <c r="J42" s="62">
        <v>341.9</v>
      </c>
      <c r="K42" s="60" t="s">
        <v>76</v>
      </c>
      <c r="L42" s="62" t="s">
        <v>1261</v>
      </c>
      <c r="M42" s="63">
        <v>0.7</v>
      </c>
      <c r="N42" s="64">
        <v>0.5</v>
      </c>
    </row>
    <row r="43" spans="1:14" ht="15" x14ac:dyDescent="0.25">
      <c r="A43" s="61" t="s">
        <v>1262</v>
      </c>
      <c r="B43" s="62">
        <v>1238.7</v>
      </c>
      <c r="C43" s="60" t="s">
        <v>1259</v>
      </c>
      <c r="D43" s="62" t="s">
        <v>1263</v>
      </c>
      <c r="E43" s="63">
        <v>1.7</v>
      </c>
      <c r="F43" s="64">
        <v>0.08</v>
      </c>
      <c r="G43" s="60"/>
      <c r="H43" s="60"/>
      <c r="I43" s="486" t="str">
        <f t="shared" si="0"/>
        <v>50 to 54</v>
      </c>
      <c r="J43" s="62">
        <v>504.5</v>
      </c>
      <c r="K43" s="60" t="s">
        <v>76</v>
      </c>
      <c r="L43" s="62" t="s">
        <v>1264</v>
      </c>
      <c r="M43" s="63">
        <v>0.9</v>
      </c>
      <c r="N43" s="64">
        <v>0.34</v>
      </c>
    </row>
    <row r="44" spans="1:14" ht="15" x14ac:dyDescent="0.25">
      <c r="A44" s="61" t="s">
        <v>1265</v>
      </c>
      <c r="B44" s="62">
        <v>1148.8</v>
      </c>
      <c r="C44" s="60" t="s">
        <v>76</v>
      </c>
      <c r="D44" s="62" t="s">
        <v>1266</v>
      </c>
      <c r="E44" s="63">
        <v>1.5</v>
      </c>
      <c r="F44" s="64">
        <v>0.12</v>
      </c>
      <c r="G44" s="60"/>
      <c r="H44" s="60"/>
      <c r="I44" s="486" t="str">
        <f t="shared" si="0"/>
        <v>55 to 59</v>
      </c>
      <c r="J44" s="62">
        <v>-341.2</v>
      </c>
      <c r="K44" s="60" t="s">
        <v>76</v>
      </c>
      <c r="L44" s="62" t="s">
        <v>1267</v>
      </c>
      <c r="M44" s="63">
        <v>-0.6</v>
      </c>
      <c r="N44" s="64">
        <v>0.54</v>
      </c>
    </row>
    <row r="45" spans="1:14" ht="15" x14ac:dyDescent="0.25">
      <c r="A45" s="61" t="s">
        <v>1268</v>
      </c>
      <c r="B45" s="62">
        <v>1326.4</v>
      </c>
      <c r="C45" s="60" t="s">
        <v>1259</v>
      </c>
      <c r="D45" s="62" t="s">
        <v>1269</v>
      </c>
      <c r="E45" s="63">
        <v>1.7</v>
      </c>
      <c r="F45" s="64">
        <v>0.08</v>
      </c>
      <c r="G45" s="60"/>
      <c r="H45" s="60"/>
      <c r="I45" s="486" t="str">
        <f t="shared" si="0"/>
        <v>60 to 64</v>
      </c>
      <c r="J45" s="62">
        <v>-323.10000000000002</v>
      </c>
      <c r="K45" s="60" t="s">
        <v>76</v>
      </c>
      <c r="L45" s="62" t="s">
        <v>1270</v>
      </c>
      <c r="M45" s="63">
        <v>-0.6</v>
      </c>
      <c r="N45" s="64">
        <v>0.56999999999999995</v>
      </c>
    </row>
    <row r="46" spans="1:14" ht="15" x14ac:dyDescent="0.25">
      <c r="A46" s="61" t="s">
        <v>1271</v>
      </c>
      <c r="B46" s="62">
        <v>1612.8</v>
      </c>
      <c r="C46" s="60" t="s">
        <v>1228</v>
      </c>
      <c r="D46" s="62" t="s">
        <v>1272</v>
      </c>
      <c r="E46" s="63">
        <v>2.1</v>
      </c>
      <c r="F46" s="64">
        <v>0.04</v>
      </c>
      <c r="G46" s="60"/>
      <c r="H46" s="60"/>
      <c r="I46" s="486" t="str">
        <f t="shared" si="0"/>
        <v>65 to 69</v>
      </c>
      <c r="J46" s="62">
        <v>443.5</v>
      </c>
      <c r="K46" s="60" t="s">
        <v>76</v>
      </c>
      <c r="L46" s="62" t="s">
        <v>1273</v>
      </c>
      <c r="M46" s="63">
        <v>0.8</v>
      </c>
      <c r="N46" s="64">
        <v>0.45</v>
      </c>
    </row>
    <row r="47" spans="1:14" ht="15" x14ac:dyDescent="0.25">
      <c r="A47" s="61" t="s">
        <v>1274</v>
      </c>
      <c r="B47" s="62">
        <v>1920.3</v>
      </c>
      <c r="C47" s="60" t="s">
        <v>1228</v>
      </c>
      <c r="D47" s="62" t="s">
        <v>1275</v>
      </c>
      <c r="E47" s="63">
        <v>2.2999999999999998</v>
      </c>
      <c r="F47" s="64">
        <v>0.02</v>
      </c>
      <c r="G47" s="60"/>
      <c r="H47" s="60"/>
      <c r="I47" s="486" t="str">
        <f t="shared" si="0"/>
        <v>70 to 74</v>
      </c>
      <c r="J47" s="62">
        <v>-64</v>
      </c>
      <c r="K47" s="60" t="s">
        <v>76</v>
      </c>
      <c r="L47" s="62" t="s">
        <v>1276</v>
      </c>
      <c r="M47" s="63">
        <v>-0.1</v>
      </c>
      <c r="N47" s="64">
        <v>0.92</v>
      </c>
    </row>
    <row r="48" spans="1:14" ht="15" x14ac:dyDescent="0.25">
      <c r="A48" s="61" t="s">
        <v>1277</v>
      </c>
      <c r="B48" s="62">
        <v>1116.5</v>
      </c>
      <c r="C48" s="60" t="s">
        <v>76</v>
      </c>
      <c r="D48" s="62" t="s">
        <v>1278</v>
      </c>
      <c r="E48" s="63">
        <v>1.3</v>
      </c>
      <c r="F48" s="64">
        <v>0.2</v>
      </c>
      <c r="G48" s="60"/>
      <c r="H48" s="60"/>
      <c r="I48" s="486" t="str">
        <f t="shared" si="0"/>
        <v>75 to 79</v>
      </c>
      <c r="J48" s="62">
        <v>-322</v>
      </c>
      <c r="K48" s="60" t="s">
        <v>76</v>
      </c>
      <c r="L48" s="62" t="s">
        <v>1279</v>
      </c>
      <c r="M48" s="63">
        <v>-0.5</v>
      </c>
      <c r="N48" s="64">
        <v>0.63</v>
      </c>
    </row>
    <row r="49" spans="1:14" ht="15" x14ac:dyDescent="0.25">
      <c r="A49" s="61" t="s">
        <v>1280</v>
      </c>
      <c r="B49" s="62">
        <v>342.8</v>
      </c>
      <c r="C49" s="60" t="s">
        <v>76</v>
      </c>
      <c r="D49" s="62" t="s">
        <v>1281</v>
      </c>
      <c r="E49" s="63">
        <v>0.4</v>
      </c>
      <c r="F49" s="64">
        <v>0.69</v>
      </c>
      <c r="G49" s="60"/>
      <c r="H49" s="60"/>
      <c r="I49" s="486" t="str">
        <f t="shared" si="0"/>
        <v>80 or older</v>
      </c>
      <c r="J49" s="62">
        <v>-820.7</v>
      </c>
      <c r="K49" s="60" t="s">
        <v>76</v>
      </c>
      <c r="L49" s="62" t="s">
        <v>1282</v>
      </c>
      <c r="M49" s="63">
        <v>-1.3</v>
      </c>
      <c r="N49" s="64">
        <v>0.2</v>
      </c>
    </row>
    <row r="50" spans="1:14" ht="15" x14ac:dyDescent="0.25">
      <c r="A50" s="61"/>
      <c r="B50" s="62"/>
      <c r="C50" s="60"/>
      <c r="D50" s="62"/>
      <c r="E50" s="63"/>
      <c r="F50" s="64"/>
      <c r="G50" s="60"/>
      <c r="H50" s="60"/>
      <c r="I50" s="486"/>
      <c r="J50" s="62"/>
      <c r="K50" s="60"/>
      <c r="L50" s="62"/>
      <c r="M50" s="63"/>
      <c r="N50" s="64"/>
    </row>
    <row r="51" spans="1:14" ht="15" x14ac:dyDescent="0.25">
      <c r="A51" s="61" t="s">
        <v>1283</v>
      </c>
      <c r="B51" s="62" t="s">
        <v>76</v>
      </c>
      <c r="C51" s="60" t="s">
        <v>76</v>
      </c>
      <c r="D51" s="62" t="s">
        <v>76</v>
      </c>
      <c r="E51" s="63" t="s">
        <v>76</v>
      </c>
      <c r="F51" s="64" t="s">
        <v>76</v>
      </c>
      <c r="G51" s="60"/>
      <c r="H51" s="60"/>
      <c r="I51" s="486" t="str">
        <f t="shared" si="0"/>
        <v>[REF: Male]</v>
      </c>
      <c r="J51" s="62" t="s">
        <v>76</v>
      </c>
      <c r="K51" s="60" t="s">
        <v>76</v>
      </c>
      <c r="L51" s="62" t="s">
        <v>76</v>
      </c>
      <c r="M51" s="63" t="s">
        <v>76</v>
      </c>
      <c r="N51" s="64" t="s">
        <v>76</v>
      </c>
    </row>
    <row r="52" spans="1:14" ht="15" x14ac:dyDescent="0.25">
      <c r="A52" s="61" t="s">
        <v>1284</v>
      </c>
      <c r="B52" s="62">
        <v>716.8</v>
      </c>
      <c r="C52" s="60" t="s">
        <v>1228</v>
      </c>
      <c r="D52" s="62" t="s">
        <v>1285</v>
      </c>
      <c r="E52" s="63">
        <v>2.4</v>
      </c>
      <c r="F52" s="64">
        <v>0.02</v>
      </c>
      <c r="G52" s="60"/>
      <c r="H52" s="60"/>
      <c r="I52" s="486" t="str">
        <f t="shared" si="0"/>
        <v>Female</v>
      </c>
      <c r="J52" s="62">
        <v>17.5</v>
      </c>
      <c r="K52" s="60" t="s">
        <v>76</v>
      </c>
      <c r="L52" s="62" t="s">
        <v>1286</v>
      </c>
      <c r="M52" s="63">
        <v>0.1</v>
      </c>
      <c r="N52" s="64">
        <v>0.94</v>
      </c>
    </row>
    <row r="53" spans="1:14" ht="15" x14ac:dyDescent="0.25">
      <c r="A53" s="61"/>
      <c r="B53" s="62"/>
      <c r="C53" s="60"/>
      <c r="D53" s="62"/>
      <c r="E53" s="63"/>
      <c r="F53" s="64"/>
      <c r="G53" s="60"/>
      <c r="H53" s="60"/>
      <c r="I53" s="486"/>
      <c r="J53" s="62"/>
      <c r="K53" s="60"/>
      <c r="L53" s="62"/>
      <c r="M53" s="63"/>
      <c r="N53" s="64"/>
    </row>
    <row r="54" spans="1:14" ht="15" x14ac:dyDescent="0.25">
      <c r="A54" s="61" t="s">
        <v>1287</v>
      </c>
      <c r="B54" s="62" t="s">
        <v>76</v>
      </c>
      <c r="C54" s="60" t="s">
        <v>76</v>
      </c>
      <c r="D54" s="62" t="s">
        <v>76</v>
      </c>
      <c r="E54" s="63" t="s">
        <v>76</v>
      </c>
      <c r="F54" s="64" t="s">
        <v>76</v>
      </c>
      <c r="G54" s="60"/>
      <c r="H54" s="60"/>
      <c r="I54" s="486" t="str">
        <f t="shared" si="0"/>
        <v>[REF: Employed]</v>
      </c>
      <c r="J54" s="62" t="s">
        <v>76</v>
      </c>
      <c r="K54" s="60" t="s">
        <v>76</v>
      </c>
      <c r="L54" s="62" t="s">
        <v>76</v>
      </c>
      <c r="M54" s="63" t="s">
        <v>76</v>
      </c>
      <c r="N54" s="64" t="s">
        <v>76</v>
      </c>
    </row>
    <row r="55" spans="1:14" ht="15" x14ac:dyDescent="0.25">
      <c r="A55" s="61" t="s">
        <v>1288</v>
      </c>
      <c r="B55" s="62">
        <v>-478.8</v>
      </c>
      <c r="C55" s="60" t="s">
        <v>76</v>
      </c>
      <c r="D55" s="62" t="s">
        <v>1289</v>
      </c>
      <c r="E55" s="63">
        <v>-1</v>
      </c>
      <c r="F55" s="64">
        <v>0.32</v>
      </c>
      <c r="G55" s="60"/>
      <c r="H55" s="60"/>
      <c r="I55" s="486" t="str">
        <f t="shared" si="0"/>
        <v>Not employed</v>
      </c>
      <c r="J55" s="62">
        <v>298</v>
      </c>
      <c r="K55" s="60" t="s">
        <v>76</v>
      </c>
      <c r="L55" s="62" t="s">
        <v>1290</v>
      </c>
      <c r="M55" s="63">
        <v>0.8</v>
      </c>
      <c r="N55" s="64">
        <v>0.41</v>
      </c>
    </row>
    <row r="56" spans="1:14" ht="15" x14ac:dyDescent="0.25">
      <c r="A56" s="61"/>
      <c r="B56" s="62"/>
      <c r="C56" s="60"/>
      <c r="D56" s="62"/>
      <c r="E56" s="63"/>
      <c r="F56" s="64"/>
      <c r="G56" s="60"/>
      <c r="H56" s="60"/>
      <c r="I56" s="486"/>
      <c r="J56" s="62"/>
      <c r="K56" s="60"/>
      <c r="L56" s="62"/>
      <c r="M56" s="63"/>
      <c r="N56" s="64"/>
    </row>
    <row r="57" spans="1:14" ht="15" x14ac:dyDescent="0.25">
      <c r="A57" s="61" t="s">
        <v>1291</v>
      </c>
      <c r="B57" s="62" t="s">
        <v>76</v>
      </c>
      <c r="C57" s="60" t="s">
        <v>76</v>
      </c>
      <c r="D57" s="62" t="s">
        <v>76</v>
      </c>
      <c r="E57" s="63" t="s">
        <v>76</v>
      </c>
      <c r="F57" s="64" t="s">
        <v>76</v>
      </c>
      <c r="G57" s="60"/>
      <c r="H57" s="60"/>
      <c r="I57" s="486" t="str">
        <f t="shared" si="0"/>
        <v>Geography</v>
      </c>
      <c r="J57" s="62" t="s">
        <v>76</v>
      </c>
      <c r="K57" s="60" t="s">
        <v>76</v>
      </c>
      <c r="L57" s="62" t="s">
        <v>76</v>
      </c>
      <c r="M57" s="63" t="s">
        <v>76</v>
      </c>
      <c r="N57" s="64" t="s">
        <v>76</v>
      </c>
    </row>
    <row r="58" spans="1:14" ht="15" x14ac:dyDescent="0.25">
      <c r="A58" s="61" t="s">
        <v>1292</v>
      </c>
      <c r="B58" s="62"/>
      <c r="C58" s="60"/>
      <c r="D58" s="62"/>
      <c r="E58" s="63"/>
      <c r="F58" s="64"/>
      <c r="G58" s="60"/>
      <c r="H58" s="60"/>
      <c r="I58" s="486" t="str">
        <f t="shared" si="0"/>
        <v>[REF: Sydney]</v>
      </c>
      <c r="J58" s="62"/>
      <c r="K58" s="60"/>
      <c r="L58" s="62"/>
      <c r="M58" s="63"/>
      <c r="N58" s="64"/>
    </row>
    <row r="59" spans="1:14" ht="15" x14ac:dyDescent="0.25">
      <c r="A59" s="61" t="s">
        <v>1293</v>
      </c>
      <c r="B59" s="62">
        <v>846.3</v>
      </c>
      <c r="C59" s="60" t="s">
        <v>76</v>
      </c>
      <c r="D59" s="62" t="s">
        <v>1294</v>
      </c>
      <c r="E59" s="63">
        <v>1.2</v>
      </c>
      <c r="F59" s="64">
        <v>0.23</v>
      </c>
      <c r="G59" s="60"/>
      <c r="H59" s="60"/>
      <c r="I59" s="486" t="str">
        <f t="shared" si="0"/>
        <v>NSW_balance</v>
      </c>
      <c r="J59" s="62">
        <v>246.4</v>
      </c>
      <c r="K59" s="60" t="s">
        <v>76</v>
      </c>
      <c r="L59" s="62" t="s">
        <v>1295</v>
      </c>
      <c r="M59" s="63">
        <v>0.5</v>
      </c>
      <c r="N59" s="64">
        <v>0.64</v>
      </c>
    </row>
    <row r="60" spans="1:14" ht="15" x14ac:dyDescent="0.25">
      <c r="A60" s="61" t="s">
        <v>232</v>
      </c>
      <c r="B60" s="62">
        <v>807</v>
      </c>
      <c r="C60" s="60" t="s">
        <v>1259</v>
      </c>
      <c r="D60" s="62" t="s">
        <v>1296</v>
      </c>
      <c r="E60" s="63">
        <v>1.8</v>
      </c>
      <c r="F60" s="64">
        <v>7.0000000000000007E-2</v>
      </c>
      <c r="G60" s="60"/>
      <c r="H60" s="60"/>
      <c r="I60" s="486" t="str">
        <f t="shared" si="0"/>
        <v>Melbourne</v>
      </c>
      <c r="J60" s="62">
        <v>-22.4</v>
      </c>
      <c r="K60" s="60" t="s">
        <v>76</v>
      </c>
      <c r="L60" s="62" t="s">
        <v>1297</v>
      </c>
      <c r="M60" s="63">
        <v>-0.1</v>
      </c>
      <c r="N60" s="64">
        <v>0.95</v>
      </c>
    </row>
    <row r="61" spans="1:14" ht="15" x14ac:dyDescent="0.25">
      <c r="A61" s="61" t="s">
        <v>1298</v>
      </c>
      <c r="B61" s="62">
        <v>2376.1999999999998</v>
      </c>
      <c r="C61" s="60" t="s">
        <v>1208</v>
      </c>
      <c r="D61" s="62" t="s">
        <v>1299</v>
      </c>
      <c r="E61" s="63">
        <v>3.1</v>
      </c>
      <c r="F61" s="64">
        <v>0</v>
      </c>
      <c r="G61" s="60"/>
      <c r="H61" s="60"/>
      <c r="I61" s="486" t="str">
        <f t="shared" si="0"/>
        <v>VIC_balance</v>
      </c>
      <c r="J61" s="62">
        <v>187.8</v>
      </c>
      <c r="K61" s="60" t="s">
        <v>76</v>
      </c>
      <c r="L61" s="62" t="s">
        <v>1300</v>
      </c>
      <c r="M61" s="63">
        <v>0.3</v>
      </c>
      <c r="N61" s="64">
        <v>0.74</v>
      </c>
    </row>
    <row r="62" spans="1:14" ht="15" x14ac:dyDescent="0.25">
      <c r="A62" s="61" t="s">
        <v>230</v>
      </c>
      <c r="B62" s="62">
        <v>-509.7</v>
      </c>
      <c r="C62" s="60" t="s">
        <v>76</v>
      </c>
      <c r="D62" s="62" t="s">
        <v>1301</v>
      </c>
      <c r="E62" s="63">
        <v>-0.9</v>
      </c>
      <c r="F62" s="64">
        <v>0.35</v>
      </c>
      <c r="G62" s="60"/>
      <c r="H62" s="60"/>
      <c r="I62" s="486" t="str">
        <f t="shared" si="0"/>
        <v>Brisbane</v>
      </c>
      <c r="J62" s="62">
        <v>-105.2</v>
      </c>
      <c r="K62" s="60" t="s">
        <v>76</v>
      </c>
      <c r="L62" s="62" t="s">
        <v>1302</v>
      </c>
      <c r="M62" s="63">
        <v>-0.3</v>
      </c>
      <c r="N62" s="64">
        <v>0.8</v>
      </c>
    </row>
    <row r="63" spans="1:14" ht="15" x14ac:dyDescent="0.25">
      <c r="A63" s="61" t="s">
        <v>1303</v>
      </c>
      <c r="B63" s="62">
        <v>1533.4</v>
      </c>
      <c r="C63" s="60" t="s">
        <v>1228</v>
      </c>
      <c r="D63" s="62" t="s">
        <v>1304</v>
      </c>
      <c r="E63" s="63">
        <v>2.1</v>
      </c>
      <c r="F63" s="64">
        <v>0.03</v>
      </c>
      <c r="G63" s="60"/>
      <c r="H63" s="60"/>
      <c r="I63" s="486" t="str">
        <f t="shared" si="0"/>
        <v>QLD_balance</v>
      </c>
      <c r="J63" s="62">
        <v>-53.6</v>
      </c>
      <c r="K63" s="60" t="s">
        <v>76</v>
      </c>
      <c r="L63" s="62" t="s">
        <v>1305</v>
      </c>
      <c r="M63" s="63">
        <v>-0.1</v>
      </c>
      <c r="N63" s="64">
        <v>0.92</v>
      </c>
    </row>
    <row r="64" spans="1:14" ht="15" x14ac:dyDescent="0.25">
      <c r="A64" s="61" t="s">
        <v>233</v>
      </c>
      <c r="B64" s="62">
        <v>925.6</v>
      </c>
      <c r="C64" s="60" t="s">
        <v>1259</v>
      </c>
      <c r="D64" s="62" t="s">
        <v>1306</v>
      </c>
      <c r="E64" s="63">
        <v>1.7</v>
      </c>
      <c r="F64" s="64">
        <v>0.09</v>
      </c>
      <c r="G64" s="60"/>
      <c r="H64" s="60"/>
      <c r="I64" s="486" t="str">
        <f t="shared" si="0"/>
        <v>Adelaide</v>
      </c>
      <c r="J64" s="62">
        <v>559.1</v>
      </c>
      <c r="K64" s="60" t="s">
        <v>76</v>
      </c>
      <c r="L64" s="62" t="s">
        <v>1307</v>
      </c>
      <c r="M64" s="63">
        <v>1.4</v>
      </c>
      <c r="N64" s="64">
        <v>0.17</v>
      </c>
    </row>
    <row r="65" spans="1:14" ht="15" x14ac:dyDescent="0.25">
      <c r="A65" s="61" t="s">
        <v>1308</v>
      </c>
      <c r="B65" s="62">
        <v>-517.20000000000005</v>
      </c>
      <c r="C65" s="60" t="s">
        <v>76</v>
      </c>
      <c r="D65" s="62" t="s">
        <v>1309</v>
      </c>
      <c r="E65" s="63">
        <v>-0.6</v>
      </c>
      <c r="F65" s="64">
        <v>0.56999999999999995</v>
      </c>
      <c r="G65" s="60"/>
      <c r="H65" s="60"/>
      <c r="I65" s="486" t="str">
        <f t="shared" si="0"/>
        <v>SA_balance</v>
      </c>
      <c r="J65" s="62">
        <v>-2.5</v>
      </c>
      <c r="K65" s="60" t="s">
        <v>76</v>
      </c>
      <c r="L65" s="62" t="s">
        <v>1310</v>
      </c>
      <c r="M65" s="63">
        <v>0</v>
      </c>
      <c r="N65" s="64">
        <v>1</v>
      </c>
    </row>
    <row r="66" spans="1:14" ht="15" x14ac:dyDescent="0.25">
      <c r="A66" s="61" t="s">
        <v>234</v>
      </c>
      <c r="B66" s="62">
        <v>-993.5</v>
      </c>
      <c r="C66" s="60" t="s">
        <v>1259</v>
      </c>
      <c r="D66" s="62" t="s">
        <v>1311</v>
      </c>
      <c r="E66" s="63">
        <v>-1.8</v>
      </c>
      <c r="F66" s="64">
        <v>7.0000000000000007E-2</v>
      </c>
      <c r="G66" s="60"/>
      <c r="H66" s="60"/>
      <c r="I66" s="486" t="str">
        <f t="shared" si="0"/>
        <v>Perth</v>
      </c>
      <c r="J66" s="62">
        <v>-437.7</v>
      </c>
      <c r="K66" s="60" t="s">
        <v>76</v>
      </c>
      <c r="L66" s="62" t="s">
        <v>1312</v>
      </c>
      <c r="M66" s="63">
        <v>-1.1000000000000001</v>
      </c>
      <c r="N66" s="64">
        <v>0.28000000000000003</v>
      </c>
    </row>
    <row r="67" spans="1:14" ht="15" x14ac:dyDescent="0.25">
      <c r="A67" s="61" t="s">
        <v>1313</v>
      </c>
      <c r="B67" s="62">
        <v>796.5</v>
      </c>
      <c r="C67" s="60" t="s">
        <v>76</v>
      </c>
      <c r="D67" s="62" t="s">
        <v>1314</v>
      </c>
      <c r="E67" s="63">
        <v>0.8</v>
      </c>
      <c r="F67" s="64">
        <v>0.4</v>
      </c>
      <c r="G67" s="60"/>
      <c r="H67" s="60"/>
      <c r="I67" s="486" t="str">
        <f t="shared" si="0"/>
        <v>WA_balance</v>
      </c>
      <c r="J67" s="62">
        <v>451.5</v>
      </c>
      <c r="K67" s="60" t="s">
        <v>76</v>
      </c>
      <c r="L67" s="62" t="s">
        <v>1315</v>
      </c>
      <c r="M67" s="63">
        <v>0.6</v>
      </c>
      <c r="N67" s="64">
        <v>0.53</v>
      </c>
    </row>
    <row r="68" spans="1:14" ht="15" x14ac:dyDescent="0.25">
      <c r="A68" s="61" t="s">
        <v>235</v>
      </c>
      <c r="B68" s="62">
        <v>751.7</v>
      </c>
      <c r="C68" s="60" t="s">
        <v>76</v>
      </c>
      <c r="D68" s="62" t="s">
        <v>1316</v>
      </c>
      <c r="E68" s="63">
        <v>1.2</v>
      </c>
      <c r="F68" s="64">
        <v>0.25</v>
      </c>
      <c r="G68" s="60"/>
      <c r="H68" s="60"/>
      <c r="I68" s="486" t="str">
        <f t="shared" si="0"/>
        <v>Hobart</v>
      </c>
      <c r="J68" s="62">
        <v>1239.0999999999999</v>
      </c>
      <c r="K68" s="60" t="s">
        <v>1228</v>
      </c>
      <c r="L68" s="62" t="s">
        <v>1317</v>
      </c>
      <c r="M68" s="63">
        <v>2.5</v>
      </c>
      <c r="N68" s="64">
        <v>0.01</v>
      </c>
    </row>
    <row r="69" spans="1:14" ht="15" x14ac:dyDescent="0.25">
      <c r="A69" s="61" t="s">
        <v>1318</v>
      </c>
      <c r="B69" s="62">
        <v>925.8</v>
      </c>
      <c r="C69" s="60" t="s">
        <v>76</v>
      </c>
      <c r="D69" s="62" t="s">
        <v>1319</v>
      </c>
      <c r="E69" s="63">
        <v>0.9</v>
      </c>
      <c r="F69" s="64">
        <v>0.35</v>
      </c>
      <c r="G69" s="60"/>
      <c r="H69" s="60"/>
      <c r="I69" s="486" t="str">
        <f t="shared" si="0"/>
        <v>TAS_balance</v>
      </c>
      <c r="J69" s="62">
        <v>708.8</v>
      </c>
      <c r="K69" s="60" t="s">
        <v>76</v>
      </c>
      <c r="L69" s="62" t="s">
        <v>1320</v>
      </c>
      <c r="M69" s="63">
        <v>1</v>
      </c>
      <c r="N69" s="64">
        <v>0.34</v>
      </c>
    </row>
    <row r="70" spans="1:14" ht="15" x14ac:dyDescent="0.25">
      <c r="A70" s="61" t="s">
        <v>1321</v>
      </c>
      <c r="B70" s="62">
        <v>565.70000000000005</v>
      </c>
      <c r="C70" s="60" t="s">
        <v>76</v>
      </c>
      <c r="D70" s="62" t="s">
        <v>1322</v>
      </c>
      <c r="E70" s="63">
        <v>0.9</v>
      </c>
      <c r="F70" s="64">
        <v>0.37</v>
      </c>
      <c r="G70" s="60"/>
      <c r="H70" s="60"/>
      <c r="I70" s="486" t="str">
        <f t="shared" si="0"/>
        <v>ACT_NT</v>
      </c>
      <c r="J70" s="62">
        <v>1036.0999999999999</v>
      </c>
      <c r="K70" s="60" t="s">
        <v>1228</v>
      </c>
      <c r="L70" s="62" t="s">
        <v>1323</v>
      </c>
      <c r="M70" s="63">
        <v>2.2000000000000002</v>
      </c>
      <c r="N70" s="64">
        <v>0.03</v>
      </c>
    </row>
    <row r="71" spans="1:14" ht="15" x14ac:dyDescent="0.25">
      <c r="A71" s="61"/>
      <c r="B71" s="62"/>
      <c r="C71" s="60"/>
      <c r="D71" s="62"/>
      <c r="E71" s="63"/>
      <c r="F71" s="64"/>
      <c r="G71" s="60"/>
      <c r="H71" s="60"/>
      <c r="I71" s="486"/>
      <c r="J71" s="62"/>
      <c r="K71" s="60"/>
      <c r="L71" s="62"/>
      <c r="M71" s="63"/>
      <c r="N71" s="64"/>
    </row>
    <row r="72" spans="1:14" ht="15" x14ac:dyDescent="0.25">
      <c r="A72" s="61" t="s">
        <v>1324</v>
      </c>
      <c r="B72" s="62"/>
      <c r="C72" s="60"/>
      <c r="D72" s="62"/>
      <c r="E72" s="63"/>
      <c r="F72" s="64"/>
      <c r="G72" s="60"/>
      <c r="H72" s="60"/>
      <c r="I72" s="486" t="str">
        <f t="shared" si="0"/>
        <v>Housing Tenure Variables</v>
      </c>
      <c r="J72" s="62"/>
      <c r="K72" s="60"/>
      <c r="L72" s="62"/>
      <c r="M72" s="63"/>
      <c r="N72" s="64"/>
    </row>
    <row r="73" spans="1:14" ht="15" x14ac:dyDescent="0.25">
      <c r="A73" s="61" t="s">
        <v>1325</v>
      </c>
      <c r="B73" s="62"/>
      <c r="C73" s="60"/>
      <c r="D73" s="62"/>
      <c r="E73" s="63"/>
      <c r="F73" s="64"/>
      <c r="G73" s="60"/>
      <c r="H73" s="60"/>
      <c r="I73" s="486" t="str">
        <f t="shared" si="0"/>
        <v>[REF: 2 bedrooms]</v>
      </c>
      <c r="J73" s="62"/>
      <c r="K73" s="60"/>
      <c r="L73" s="62"/>
      <c r="M73" s="63"/>
      <c r="N73" s="64"/>
    </row>
    <row r="74" spans="1:14" ht="15" x14ac:dyDescent="0.25">
      <c r="A74" s="61" t="s">
        <v>1326</v>
      </c>
      <c r="B74" s="62">
        <v>134.9</v>
      </c>
      <c r="C74" s="60" t="s">
        <v>76</v>
      </c>
      <c r="D74" s="62" t="s">
        <v>1327</v>
      </c>
      <c r="E74" s="63">
        <v>0.2</v>
      </c>
      <c r="F74" s="64">
        <v>0.84</v>
      </c>
      <c r="G74" s="60"/>
      <c r="H74" s="60"/>
      <c r="I74" s="486" t="str">
        <f t="shared" si="0"/>
        <v>1 or less</v>
      </c>
      <c r="J74" s="62">
        <v>247.5</v>
      </c>
      <c r="K74" s="60" t="s">
        <v>76</v>
      </c>
      <c r="L74" s="62" t="s">
        <v>1328</v>
      </c>
      <c r="M74" s="63">
        <v>0.5</v>
      </c>
      <c r="N74" s="64">
        <v>0.62</v>
      </c>
    </row>
    <row r="75" spans="1:14" ht="15" x14ac:dyDescent="0.25">
      <c r="A75" s="61">
        <v>3</v>
      </c>
      <c r="B75" s="62">
        <v>1251.2</v>
      </c>
      <c r="C75" s="60" t="s">
        <v>1208</v>
      </c>
      <c r="D75" s="62" t="s">
        <v>1329</v>
      </c>
      <c r="E75" s="63">
        <v>3.3</v>
      </c>
      <c r="F75" s="64">
        <v>0</v>
      </c>
      <c r="G75" s="60"/>
      <c r="H75" s="60"/>
      <c r="I75" s="486">
        <f t="shared" si="0"/>
        <v>3</v>
      </c>
      <c r="J75" s="62">
        <v>-338.7</v>
      </c>
      <c r="K75" s="60" t="s">
        <v>76</v>
      </c>
      <c r="L75" s="62" t="s">
        <v>1330</v>
      </c>
      <c r="M75" s="63">
        <v>-1.2</v>
      </c>
      <c r="N75" s="64">
        <v>0.24</v>
      </c>
    </row>
    <row r="76" spans="1:14" ht="15" x14ac:dyDescent="0.25">
      <c r="A76" s="61">
        <v>4</v>
      </c>
      <c r="B76" s="62">
        <v>2831.7</v>
      </c>
      <c r="C76" s="60" t="s">
        <v>1208</v>
      </c>
      <c r="D76" s="62" t="s">
        <v>1331</v>
      </c>
      <c r="E76" s="63">
        <v>6</v>
      </c>
      <c r="F76" s="64">
        <v>0</v>
      </c>
      <c r="G76" s="60"/>
      <c r="H76" s="60"/>
      <c r="I76" s="486">
        <f t="shared" si="0"/>
        <v>4</v>
      </c>
      <c r="J76" s="62">
        <v>-313.39999999999998</v>
      </c>
      <c r="K76" s="60" t="s">
        <v>76</v>
      </c>
      <c r="L76" s="62" t="s">
        <v>1332</v>
      </c>
      <c r="M76" s="63">
        <v>-0.9</v>
      </c>
      <c r="N76" s="64">
        <v>0.38</v>
      </c>
    </row>
    <row r="77" spans="1:14" ht="15" x14ac:dyDescent="0.25">
      <c r="A77" s="61" t="s">
        <v>1333</v>
      </c>
      <c r="B77" s="62">
        <v>2157.8000000000002</v>
      </c>
      <c r="C77" s="60" t="s">
        <v>1208</v>
      </c>
      <c r="D77" s="62" t="s">
        <v>1334</v>
      </c>
      <c r="E77" s="63">
        <v>2.7</v>
      </c>
      <c r="F77" s="64">
        <v>0.01</v>
      </c>
      <c r="G77" s="60"/>
      <c r="H77" s="60"/>
      <c r="I77" s="486" t="str">
        <f t="shared" si="0"/>
        <v>5 or more</v>
      </c>
      <c r="J77" s="62">
        <v>-245.1</v>
      </c>
      <c r="K77" s="60" t="s">
        <v>76</v>
      </c>
      <c r="L77" s="62" t="s">
        <v>1335</v>
      </c>
      <c r="M77" s="63">
        <v>-0.4</v>
      </c>
      <c r="N77" s="64">
        <v>0.69</v>
      </c>
    </row>
    <row r="78" spans="1:14" ht="15" x14ac:dyDescent="0.25">
      <c r="A78" s="61"/>
      <c r="B78" s="62"/>
      <c r="C78" s="60"/>
      <c r="D78" s="62"/>
      <c r="E78" s="63"/>
      <c r="F78" s="64"/>
      <c r="G78" s="60"/>
      <c r="H78" s="60"/>
      <c r="I78" s="486"/>
      <c r="J78" s="62"/>
      <c r="K78" s="60"/>
      <c r="L78" s="62"/>
      <c r="M78" s="63"/>
      <c r="N78" s="64"/>
    </row>
    <row r="79" spans="1:14" ht="15" x14ac:dyDescent="0.25">
      <c r="A79" s="61" t="s">
        <v>1336</v>
      </c>
      <c r="B79" s="62"/>
      <c r="C79" s="60"/>
      <c r="D79" s="62"/>
      <c r="E79" s="63"/>
      <c r="F79" s="64"/>
      <c r="G79" s="60"/>
      <c r="H79" s="60"/>
      <c r="I79" s="486" t="str">
        <f t="shared" si="0"/>
        <v>[REF: Owner with a mortgage]</v>
      </c>
      <c r="J79" s="62"/>
      <c r="K79" s="60"/>
      <c r="L79" s="62"/>
      <c r="M79" s="63"/>
      <c r="N79" s="64"/>
    </row>
    <row r="80" spans="1:14" ht="15" x14ac:dyDescent="0.25">
      <c r="A80" s="61" t="s">
        <v>1337</v>
      </c>
      <c r="B80" s="62">
        <v>-1441.4</v>
      </c>
      <c r="C80" s="60" t="s">
        <v>1208</v>
      </c>
      <c r="D80" s="62" t="s">
        <v>1338</v>
      </c>
      <c r="E80" s="63">
        <v>-3.3</v>
      </c>
      <c r="F80" s="64">
        <v>0</v>
      </c>
      <c r="G80" s="60"/>
      <c r="H80" s="60"/>
      <c r="I80" s="486" t="str">
        <f t="shared" si="0"/>
        <v>Owner without mortgage</v>
      </c>
      <c r="J80" s="62">
        <v>-818.5</v>
      </c>
      <c r="K80" s="60" t="s">
        <v>1228</v>
      </c>
      <c r="L80" s="62" t="s">
        <v>1339</v>
      </c>
      <c r="M80" s="63">
        <v>-2.5</v>
      </c>
      <c r="N80" s="64">
        <v>0.01</v>
      </c>
    </row>
    <row r="81" spans="1:14" ht="15" x14ac:dyDescent="0.25">
      <c r="A81" s="61" t="s">
        <v>1340</v>
      </c>
      <c r="B81" s="62">
        <v>-3463.9</v>
      </c>
      <c r="C81" s="60" t="s">
        <v>1208</v>
      </c>
      <c r="D81" s="62" t="s">
        <v>1341</v>
      </c>
      <c r="E81" s="63">
        <v>-7</v>
      </c>
      <c r="F81" s="64">
        <v>0</v>
      </c>
      <c r="G81" s="60"/>
      <c r="H81" s="60"/>
      <c r="I81" s="486" t="str">
        <f t="shared" si="0"/>
        <v>Renter</v>
      </c>
      <c r="J81" s="62">
        <v>-99</v>
      </c>
      <c r="K81" s="60" t="s">
        <v>76</v>
      </c>
      <c r="L81" s="62" t="s">
        <v>1342</v>
      </c>
      <c r="M81" s="63">
        <v>-0.3</v>
      </c>
      <c r="N81" s="64">
        <v>0.79</v>
      </c>
    </row>
    <row r="82" spans="1:14" ht="15" x14ac:dyDescent="0.25">
      <c r="A82" s="61"/>
      <c r="B82" s="62"/>
      <c r="C82" s="60"/>
      <c r="D82" s="62"/>
      <c r="E82" s="63"/>
      <c r="F82" s="64"/>
      <c r="G82" s="60"/>
      <c r="H82" s="60"/>
      <c r="I82" s="486"/>
      <c r="J82" s="62"/>
      <c r="K82" s="60"/>
      <c r="L82" s="62"/>
      <c r="M82" s="63"/>
      <c r="N82" s="64"/>
    </row>
    <row r="83" spans="1:14" ht="15" x14ac:dyDescent="0.25">
      <c r="A83" s="61" t="s">
        <v>1343</v>
      </c>
      <c r="B83" s="62" t="s">
        <v>76</v>
      </c>
      <c r="C83" s="60" t="s">
        <v>76</v>
      </c>
      <c r="D83" s="62" t="s">
        <v>76</v>
      </c>
      <c r="E83" s="63" t="s">
        <v>76</v>
      </c>
      <c r="F83" s="64" t="s">
        <v>76</v>
      </c>
      <c r="G83" s="60"/>
      <c r="H83" s="60"/>
      <c r="I83" s="486" t="str">
        <f t="shared" si="0"/>
        <v>Total Gross Household Income from All Sources</v>
      </c>
      <c r="J83" s="62" t="s">
        <v>76</v>
      </c>
      <c r="K83" s="60" t="s">
        <v>76</v>
      </c>
      <c r="L83" s="62" t="s">
        <v>76</v>
      </c>
      <c r="M83" s="63" t="s">
        <v>76</v>
      </c>
      <c r="N83" s="64" t="s">
        <v>76</v>
      </c>
    </row>
    <row r="84" spans="1:14" ht="15" x14ac:dyDescent="0.25">
      <c r="A84" s="61" t="s">
        <v>1344</v>
      </c>
      <c r="B84" s="62"/>
      <c r="C84" s="60"/>
      <c r="D84" s="62"/>
      <c r="E84" s="63"/>
      <c r="F84" s="64"/>
      <c r="G84" s="60"/>
      <c r="H84" s="60"/>
      <c r="I84" s="486" t="str">
        <f t="shared" ref="I84:I122" si="1">A84</f>
        <v>[Income levels measured in 2015 dollars]</v>
      </c>
      <c r="J84" s="62"/>
      <c r="K84" s="60"/>
      <c r="L84" s="62"/>
      <c r="M84" s="63"/>
      <c r="N84" s="64"/>
    </row>
    <row r="85" spans="1:14" ht="15" x14ac:dyDescent="0.25">
      <c r="A85" s="61" t="s">
        <v>1345</v>
      </c>
      <c r="B85" s="62"/>
      <c r="C85" s="60"/>
      <c r="D85" s="62"/>
      <c r="E85" s="63"/>
      <c r="F85" s="64"/>
      <c r="G85" s="60"/>
      <c r="H85" s="60"/>
      <c r="I85" s="486" t="str">
        <f t="shared" si="1"/>
        <v>[REF: Between $80,000 and $100,000]</v>
      </c>
      <c r="J85" s="62"/>
      <c r="K85" s="60"/>
      <c r="L85" s="62"/>
      <c r="M85" s="63"/>
      <c r="N85" s="64"/>
    </row>
    <row r="86" spans="1:14" ht="15" x14ac:dyDescent="0.25">
      <c r="A86" s="61" t="s">
        <v>1135</v>
      </c>
      <c r="B86" s="62">
        <v>-6210.9</v>
      </c>
      <c r="C86" s="60" t="s">
        <v>1208</v>
      </c>
      <c r="D86" s="62" t="s">
        <v>1346</v>
      </c>
      <c r="E86" s="63">
        <v>-6.4</v>
      </c>
      <c r="F86" s="64">
        <v>0</v>
      </c>
      <c r="G86" s="60"/>
      <c r="H86" s="60"/>
      <c r="I86" s="486" t="str">
        <f t="shared" si="1"/>
        <v>$20,000 or less</v>
      </c>
      <c r="J86" s="62">
        <v>-4673.1000000000004</v>
      </c>
      <c r="K86" s="60" t="s">
        <v>1208</v>
      </c>
      <c r="L86" s="62" t="s">
        <v>1347</v>
      </c>
      <c r="M86" s="63">
        <v>-6.4</v>
      </c>
      <c r="N86" s="64">
        <v>0</v>
      </c>
    </row>
    <row r="87" spans="1:14" ht="15" x14ac:dyDescent="0.25">
      <c r="A87" s="61" t="s">
        <v>1136</v>
      </c>
      <c r="B87" s="62">
        <v>-5842.5</v>
      </c>
      <c r="C87" s="60" t="s">
        <v>1208</v>
      </c>
      <c r="D87" s="62" t="s">
        <v>1348</v>
      </c>
      <c r="E87" s="63">
        <v>-8.1</v>
      </c>
      <c r="F87" s="64">
        <v>0</v>
      </c>
      <c r="G87" s="60"/>
      <c r="H87" s="60"/>
      <c r="I87" s="486" t="str">
        <f t="shared" si="1"/>
        <v>$20,000 to $30,000</v>
      </c>
      <c r="J87" s="62">
        <v>-4300.1000000000004</v>
      </c>
      <c r="K87" s="60" t="s">
        <v>1208</v>
      </c>
      <c r="L87" s="62" t="s">
        <v>1349</v>
      </c>
      <c r="M87" s="63">
        <v>-8</v>
      </c>
      <c r="N87" s="64">
        <v>0</v>
      </c>
    </row>
    <row r="88" spans="1:14" ht="15" x14ac:dyDescent="0.25">
      <c r="A88" s="61" t="s">
        <v>1137</v>
      </c>
      <c r="B88" s="62">
        <v>-5745.6</v>
      </c>
      <c r="C88" s="60" t="s">
        <v>1208</v>
      </c>
      <c r="D88" s="62" t="s">
        <v>1350</v>
      </c>
      <c r="E88" s="63">
        <v>-8.6</v>
      </c>
      <c r="F88" s="64">
        <v>0</v>
      </c>
      <c r="G88" s="60"/>
      <c r="H88" s="60"/>
      <c r="I88" s="486" t="str">
        <f t="shared" si="1"/>
        <v>$30,000 to $40,000</v>
      </c>
      <c r="J88" s="62">
        <v>-3658.2</v>
      </c>
      <c r="K88" s="60" t="s">
        <v>1208</v>
      </c>
      <c r="L88" s="62" t="s">
        <v>1351</v>
      </c>
      <c r="M88" s="63">
        <v>-7.3</v>
      </c>
      <c r="N88" s="64">
        <v>0</v>
      </c>
    </row>
    <row r="89" spans="1:14" ht="15" x14ac:dyDescent="0.25">
      <c r="A89" s="61" t="s">
        <v>1138</v>
      </c>
      <c r="B89" s="62">
        <v>-4999.8</v>
      </c>
      <c r="C89" s="60" t="s">
        <v>1208</v>
      </c>
      <c r="D89" s="62" t="s">
        <v>1352</v>
      </c>
      <c r="E89" s="63">
        <v>-7.4</v>
      </c>
      <c r="F89" s="64">
        <v>0</v>
      </c>
      <c r="G89" s="60"/>
      <c r="H89" s="60"/>
      <c r="I89" s="486" t="str">
        <f t="shared" si="1"/>
        <v>$40,000 to $50,000</v>
      </c>
      <c r="J89" s="62">
        <v>-3308.7</v>
      </c>
      <c r="K89" s="60" t="s">
        <v>1208</v>
      </c>
      <c r="L89" s="62" t="s">
        <v>1353</v>
      </c>
      <c r="M89" s="63">
        <v>-6.5</v>
      </c>
      <c r="N89" s="64">
        <v>0</v>
      </c>
    </row>
    <row r="90" spans="1:14" ht="15" x14ac:dyDescent="0.25">
      <c r="A90" s="61" t="s">
        <v>1139</v>
      </c>
      <c r="B90" s="62">
        <v>-3983.9</v>
      </c>
      <c r="C90" s="60" t="s">
        <v>1208</v>
      </c>
      <c r="D90" s="62" t="s">
        <v>1354</v>
      </c>
      <c r="E90" s="63">
        <v>-5.8</v>
      </c>
      <c r="F90" s="64">
        <v>0</v>
      </c>
      <c r="G90" s="60"/>
      <c r="H90" s="60"/>
      <c r="I90" s="486" t="str">
        <f t="shared" si="1"/>
        <v>$50,000 to $60,000</v>
      </c>
      <c r="J90" s="62">
        <v>-2358.4</v>
      </c>
      <c r="K90" s="60" t="s">
        <v>1208</v>
      </c>
      <c r="L90" s="62" t="s">
        <v>1355</v>
      </c>
      <c r="M90" s="63">
        <v>-4.5</v>
      </c>
      <c r="N90" s="64">
        <v>0</v>
      </c>
    </row>
    <row r="91" spans="1:14" ht="15" x14ac:dyDescent="0.25">
      <c r="A91" s="61" t="s">
        <v>1140</v>
      </c>
      <c r="B91" s="62">
        <v>-2283.1</v>
      </c>
      <c r="C91" s="60" t="s">
        <v>1208</v>
      </c>
      <c r="D91" s="62" t="s">
        <v>1356</v>
      </c>
      <c r="E91" s="63">
        <v>-3.7</v>
      </c>
      <c r="F91" s="64">
        <v>0</v>
      </c>
      <c r="G91" s="60"/>
      <c r="H91" s="60"/>
      <c r="I91" s="486" t="str">
        <f t="shared" si="1"/>
        <v>$60,000 to $80,000</v>
      </c>
      <c r="J91" s="62">
        <v>-1540.4</v>
      </c>
      <c r="K91" s="60" t="s">
        <v>1208</v>
      </c>
      <c r="L91" s="62" t="s">
        <v>1357</v>
      </c>
      <c r="M91" s="63">
        <v>-3.4</v>
      </c>
      <c r="N91" s="64">
        <v>0</v>
      </c>
    </row>
    <row r="92" spans="1:14" ht="15" x14ac:dyDescent="0.25">
      <c r="A92" s="61" t="s">
        <v>1142</v>
      </c>
      <c r="B92" s="62">
        <v>1433.1</v>
      </c>
      <c r="C92" s="60" t="s">
        <v>1228</v>
      </c>
      <c r="D92" s="62" t="s">
        <v>1358</v>
      </c>
      <c r="E92" s="63">
        <v>2.1</v>
      </c>
      <c r="F92" s="64">
        <v>0.03</v>
      </c>
      <c r="G92" s="60"/>
      <c r="H92" s="60"/>
      <c r="I92" s="486" t="str">
        <f t="shared" si="1"/>
        <v>$100,000 to $120,000</v>
      </c>
      <c r="J92" s="62">
        <v>1379.9</v>
      </c>
      <c r="K92" s="60" t="s">
        <v>1208</v>
      </c>
      <c r="L92" s="62" t="s">
        <v>1359</v>
      </c>
      <c r="M92" s="63">
        <v>2.7</v>
      </c>
      <c r="N92" s="64">
        <v>0.01</v>
      </c>
    </row>
    <row r="93" spans="1:14" ht="15" x14ac:dyDescent="0.25">
      <c r="A93" s="61" t="s">
        <v>1143</v>
      </c>
      <c r="B93" s="62">
        <v>3734.5</v>
      </c>
      <c r="C93" s="60" t="s">
        <v>1208</v>
      </c>
      <c r="D93" s="62" t="s">
        <v>1360</v>
      </c>
      <c r="E93" s="63">
        <v>5.0999999999999996</v>
      </c>
      <c r="F93" s="64">
        <v>0</v>
      </c>
      <c r="G93" s="60"/>
      <c r="H93" s="60"/>
      <c r="I93" s="486" t="str">
        <f t="shared" si="1"/>
        <v>$120,000 to $140,000</v>
      </c>
      <c r="J93" s="62">
        <v>3704.8</v>
      </c>
      <c r="K93" s="60" t="s">
        <v>1208</v>
      </c>
      <c r="L93" s="62" t="s">
        <v>1361</v>
      </c>
      <c r="M93" s="63">
        <v>6.8</v>
      </c>
      <c r="N93" s="64">
        <v>0</v>
      </c>
    </row>
    <row r="94" spans="1:14" ht="15" x14ac:dyDescent="0.25">
      <c r="A94" s="61" t="s">
        <v>1144</v>
      </c>
      <c r="B94" s="62">
        <v>4868.3999999999996</v>
      </c>
      <c r="C94" s="60" t="s">
        <v>1208</v>
      </c>
      <c r="D94" s="62" t="s">
        <v>1362</v>
      </c>
      <c r="E94" s="63">
        <v>6.1</v>
      </c>
      <c r="F94" s="64">
        <v>0</v>
      </c>
      <c r="G94" s="60"/>
      <c r="H94" s="60"/>
      <c r="I94" s="486" t="str">
        <f t="shared" si="1"/>
        <v>$140,000 to $160,000</v>
      </c>
      <c r="J94" s="62">
        <v>4328.5</v>
      </c>
      <c r="K94" s="60" t="s">
        <v>1208</v>
      </c>
      <c r="L94" s="62" t="s">
        <v>1363</v>
      </c>
      <c r="M94" s="63">
        <v>7.2</v>
      </c>
      <c r="N94" s="64">
        <v>0</v>
      </c>
    </row>
    <row r="95" spans="1:14" ht="15" x14ac:dyDescent="0.25">
      <c r="A95" s="61" t="s">
        <v>1145</v>
      </c>
      <c r="B95" s="62">
        <v>6091.6</v>
      </c>
      <c r="C95" s="60" t="s">
        <v>1208</v>
      </c>
      <c r="D95" s="62" t="s">
        <v>1364</v>
      </c>
      <c r="E95" s="63">
        <v>8.1999999999999993</v>
      </c>
      <c r="F95" s="64">
        <v>0</v>
      </c>
      <c r="G95" s="60"/>
      <c r="H95" s="60"/>
      <c r="I95" s="486" t="str">
        <f t="shared" si="1"/>
        <v>$160,000 to $200,000</v>
      </c>
      <c r="J95" s="62">
        <v>5328.3</v>
      </c>
      <c r="K95" s="60" t="s">
        <v>1208</v>
      </c>
      <c r="L95" s="62" t="s">
        <v>1365</v>
      </c>
      <c r="M95" s="63">
        <v>9.5</v>
      </c>
      <c r="N95" s="64">
        <v>0</v>
      </c>
    </row>
    <row r="96" spans="1:14" ht="15" x14ac:dyDescent="0.25">
      <c r="A96" s="61" t="s">
        <v>1146</v>
      </c>
      <c r="B96" s="62">
        <v>8829.1</v>
      </c>
      <c r="C96" s="60" t="s">
        <v>1208</v>
      </c>
      <c r="D96" s="62" t="s">
        <v>1366</v>
      </c>
      <c r="E96" s="63">
        <v>10.6</v>
      </c>
      <c r="F96" s="64">
        <v>0</v>
      </c>
      <c r="G96" s="60"/>
      <c r="H96" s="60"/>
      <c r="I96" s="486" t="str">
        <f t="shared" si="1"/>
        <v>$200,000 to $250,000</v>
      </c>
      <c r="J96" s="62">
        <v>8115.9</v>
      </c>
      <c r="K96" s="60" t="s">
        <v>1208</v>
      </c>
      <c r="L96" s="62" t="s">
        <v>1367</v>
      </c>
      <c r="M96" s="63">
        <v>13</v>
      </c>
      <c r="N96" s="64">
        <v>0</v>
      </c>
    </row>
    <row r="97" spans="1:14" ht="15" x14ac:dyDescent="0.25">
      <c r="A97" s="61" t="s">
        <v>1147</v>
      </c>
      <c r="B97" s="62">
        <v>15141</v>
      </c>
      <c r="C97" s="60" t="s">
        <v>1208</v>
      </c>
      <c r="D97" s="62" t="s">
        <v>1368</v>
      </c>
      <c r="E97" s="63">
        <v>12</v>
      </c>
      <c r="F97" s="64">
        <v>0</v>
      </c>
      <c r="G97" s="60"/>
      <c r="H97" s="60"/>
      <c r="I97" s="486" t="str">
        <f t="shared" si="1"/>
        <v>$250,000 to $300,000</v>
      </c>
      <c r="J97" s="62">
        <v>8908.5</v>
      </c>
      <c r="K97" s="60" t="s">
        <v>1208</v>
      </c>
      <c r="L97" s="62" t="s">
        <v>1369</v>
      </c>
      <c r="M97" s="63">
        <v>9.5</v>
      </c>
      <c r="N97" s="64">
        <v>0</v>
      </c>
    </row>
    <row r="98" spans="1:14" ht="15" x14ac:dyDescent="0.25">
      <c r="A98" s="61" t="s">
        <v>1148</v>
      </c>
      <c r="B98" s="62">
        <v>14128.8</v>
      </c>
      <c r="C98" s="60" t="s">
        <v>1208</v>
      </c>
      <c r="D98" s="62" t="s">
        <v>1370</v>
      </c>
      <c r="E98" s="63">
        <v>13.4</v>
      </c>
      <c r="F98" s="64">
        <v>0</v>
      </c>
      <c r="G98" s="60"/>
      <c r="H98" s="60"/>
      <c r="I98" s="486" t="str">
        <f t="shared" si="1"/>
        <v>$300,000 to $500,000</v>
      </c>
      <c r="J98" s="62">
        <v>11031.3</v>
      </c>
      <c r="K98" s="60" t="s">
        <v>1208</v>
      </c>
      <c r="L98" s="62" t="s">
        <v>1371</v>
      </c>
      <c r="M98" s="63">
        <v>14</v>
      </c>
      <c r="N98" s="64">
        <v>0</v>
      </c>
    </row>
    <row r="99" spans="1:14" ht="15" x14ac:dyDescent="0.25">
      <c r="A99" s="61"/>
      <c r="B99" s="62"/>
      <c r="C99" s="60"/>
      <c r="D99" s="62"/>
      <c r="E99" s="63"/>
      <c r="F99" s="64"/>
      <c r="G99" s="60"/>
      <c r="H99" s="60"/>
      <c r="I99" s="486"/>
      <c r="J99" s="62"/>
      <c r="K99" s="60"/>
      <c r="L99" s="62"/>
      <c r="M99" s="63"/>
      <c r="N99" s="64"/>
    </row>
    <row r="100" spans="1:14" ht="15" x14ac:dyDescent="0.25">
      <c r="A100" s="61" t="s">
        <v>1372</v>
      </c>
      <c r="B100" s="62"/>
      <c r="C100" s="60"/>
      <c r="D100" s="62"/>
      <c r="E100" s="63"/>
      <c r="F100" s="64"/>
      <c r="G100" s="60"/>
      <c r="H100" s="60"/>
      <c r="I100" s="486" t="str">
        <f t="shared" si="1"/>
        <v>Net Wealth Decile</v>
      </c>
      <c r="J100" s="62"/>
      <c r="K100" s="60"/>
      <c r="L100" s="62"/>
      <c r="M100" s="63"/>
      <c r="N100" s="64"/>
    </row>
    <row r="101" spans="1:14" ht="15" x14ac:dyDescent="0.25">
      <c r="A101" s="61" t="s">
        <v>1373</v>
      </c>
      <c r="B101" s="62"/>
      <c r="C101" s="60"/>
      <c r="D101" s="62"/>
      <c r="E101" s="63"/>
      <c r="F101" s="64"/>
      <c r="G101" s="60"/>
      <c r="H101" s="60"/>
      <c r="I101" s="486" t="str">
        <f t="shared" si="1"/>
        <v>[REF: Decile 5]</v>
      </c>
      <c r="J101" s="62"/>
      <c r="K101" s="60"/>
      <c r="L101" s="62"/>
      <c r="M101" s="63"/>
      <c r="N101" s="64"/>
    </row>
    <row r="102" spans="1:14" ht="15" x14ac:dyDescent="0.25">
      <c r="A102" s="61">
        <v>1</v>
      </c>
      <c r="B102" s="62">
        <v>-3828.6</v>
      </c>
      <c r="C102" s="60" t="s">
        <v>1208</v>
      </c>
      <c r="D102" s="62" t="s">
        <v>1374</v>
      </c>
      <c r="E102" s="63">
        <v>-4.7</v>
      </c>
      <c r="F102" s="64">
        <v>0</v>
      </c>
      <c r="G102" s="60"/>
      <c r="H102" s="60"/>
      <c r="I102" s="486">
        <f t="shared" si="1"/>
        <v>1</v>
      </c>
      <c r="J102" s="62">
        <v>-1744.8</v>
      </c>
      <c r="K102" s="60" t="s">
        <v>1208</v>
      </c>
      <c r="L102" s="62" t="s">
        <v>1375</v>
      </c>
      <c r="M102" s="63">
        <v>-2.9</v>
      </c>
      <c r="N102" s="64">
        <v>0</v>
      </c>
    </row>
    <row r="103" spans="1:14" ht="15" x14ac:dyDescent="0.25">
      <c r="A103" s="61">
        <v>2</v>
      </c>
      <c r="B103" s="62">
        <v>-2059.6</v>
      </c>
      <c r="C103" s="60" t="s">
        <v>1208</v>
      </c>
      <c r="D103" s="62" t="s">
        <v>1376</v>
      </c>
      <c r="E103" s="63">
        <v>-2.7</v>
      </c>
      <c r="F103" s="64">
        <v>0.01</v>
      </c>
      <c r="G103" s="60"/>
      <c r="H103" s="60"/>
      <c r="I103" s="486">
        <f t="shared" si="1"/>
        <v>2</v>
      </c>
      <c r="J103" s="62">
        <v>-1124.9000000000001</v>
      </c>
      <c r="K103" s="60" t="s">
        <v>1228</v>
      </c>
      <c r="L103" s="62" t="s">
        <v>1377</v>
      </c>
      <c r="M103" s="63">
        <v>-2</v>
      </c>
      <c r="N103" s="64">
        <v>0.05</v>
      </c>
    </row>
    <row r="104" spans="1:14" ht="15" x14ac:dyDescent="0.25">
      <c r="A104" s="61">
        <v>3</v>
      </c>
      <c r="B104" s="62">
        <v>-1887</v>
      </c>
      <c r="C104" s="60" t="s">
        <v>1208</v>
      </c>
      <c r="D104" s="62" t="s">
        <v>1378</v>
      </c>
      <c r="E104" s="63">
        <v>-2.8</v>
      </c>
      <c r="F104" s="64">
        <v>0</v>
      </c>
      <c r="G104" s="60"/>
      <c r="H104" s="60"/>
      <c r="I104" s="486">
        <f t="shared" si="1"/>
        <v>3</v>
      </c>
      <c r="J104" s="62">
        <v>-1037.9000000000001</v>
      </c>
      <c r="K104" s="60" t="s">
        <v>1228</v>
      </c>
      <c r="L104" s="62" t="s">
        <v>1379</v>
      </c>
      <c r="M104" s="63">
        <v>-2.1</v>
      </c>
      <c r="N104" s="64">
        <v>0.04</v>
      </c>
    </row>
    <row r="105" spans="1:14" ht="15" x14ac:dyDescent="0.25">
      <c r="A105" s="61">
        <v>4</v>
      </c>
      <c r="B105" s="62">
        <v>-1378.5</v>
      </c>
      <c r="C105" s="60" t="s">
        <v>1228</v>
      </c>
      <c r="D105" s="62" t="s">
        <v>1380</v>
      </c>
      <c r="E105" s="63">
        <v>-2.2000000000000002</v>
      </c>
      <c r="F105" s="64">
        <v>0.02</v>
      </c>
      <c r="G105" s="60"/>
      <c r="H105" s="60"/>
      <c r="I105" s="486">
        <f t="shared" si="1"/>
        <v>4</v>
      </c>
      <c r="J105" s="62">
        <v>-694</v>
      </c>
      <c r="K105" s="60" t="s">
        <v>76</v>
      </c>
      <c r="L105" s="62" t="s">
        <v>1381</v>
      </c>
      <c r="M105" s="63">
        <v>-1.5</v>
      </c>
      <c r="N105" s="64">
        <v>0.13</v>
      </c>
    </row>
    <row r="106" spans="1:14" ht="15" x14ac:dyDescent="0.25">
      <c r="A106" s="61">
        <v>6</v>
      </c>
      <c r="B106" s="62">
        <v>407.8</v>
      </c>
      <c r="C106" s="60" t="s">
        <v>76</v>
      </c>
      <c r="D106" s="62" t="s">
        <v>1382</v>
      </c>
      <c r="E106" s="63">
        <v>0.7</v>
      </c>
      <c r="F106" s="64">
        <v>0.5</v>
      </c>
      <c r="G106" s="60"/>
      <c r="H106" s="60"/>
      <c r="I106" s="486">
        <f t="shared" si="1"/>
        <v>6</v>
      </c>
      <c r="J106" s="62">
        <v>-91.6</v>
      </c>
      <c r="K106" s="60" t="s">
        <v>76</v>
      </c>
      <c r="L106" s="62" t="s">
        <v>1383</v>
      </c>
      <c r="M106" s="63">
        <v>-0.2</v>
      </c>
      <c r="N106" s="64">
        <v>0.84</v>
      </c>
    </row>
    <row r="107" spans="1:14" ht="15" x14ac:dyDescent="0.25">
      <c r="A107" s="61">
        <v>7</v>
      </c>
      <c r="B107" s="62">
        <v>410.1</v>
      </c>
      <c r="C107" s="60" t="s">
        <v>76</v>
      </c>
      <c r="D107" s="62" t="s">
        <v>1384</v>
      </c>
      <c r="E107" s="63">
        <v>0.7</v>
      </c>
      <c r="F107" s="64">
        <v>0.5</v>
      </c>
      <c r="G107" s="60"/>
      <c r="H107" s="60"/>
      <c r="I107" s="486">
        <f t="shared" si="1"/>
        <v>7</v>
      </c>
      <c r="J107" s="62">
        <v>116.5</v>
      </c>
      <c r="K107" s="60" t="s">
        <v>76</v>
      </c>
      <c r="L107" s="62" t="s">
        <v>1385</v>
      </c>
      <c r="M107" s="63">
        <v>0.3</v>
      </c>
      <c r="N107" s="64">
        <v>0.8</v>
      </c>
    </row>
    <row r="108" spans="1:14" ht="15" x14ac:dyDescent="0.25">
      <c r="A108" s="61">
        <v>8</v>
      </c>
      <c r="B108" s="62">
        <v>1929.1</v>
      </c>
      <c r="C108" s="60" t="s">
        <v>1208</v>
      </c>
      <c r="D108" s="62" t="s">
        <v>1386</v>
      </c>
      <c r="E108" s="63">
        <v>3.1</v>
      </c>
      <c r="F108" s="64">
        <v>0</v>
      </c>
      <c r="G108" s="60"/>
      <c r="H108" s="60"/>
      <c r="I108" s="486">
        <f t="shared" si="1"/>
        <v>8</v>
      </c>
      <c r="J108" s="62">
        <v>435.9</v>
      </c>
      <c r="K108" s="60" t="s">
        <v>76</v>
      </c>
      <c r="L108" s="62" t="s">
        <v>1387</v>
      </c>
      <c r="M108" s="63">
        <v>0.9</v>
      </c>
      <c r="N108" s="64">
        <v>0.35</v>
      </c>
    </row>
    <row r="109" spans="1:14" ht="15" x14ac:dyDescent="0.25">
      <c r="A109" s="61">
        <v>9</v>
      </c>
      <c r="B109" s="62">
        <v>2512.6999999999998</v>
      </c>
      <c r="C109" s="60" t="s">
        <v>1208</v>
      </c>
      <c r="D109" s="62" t="s">
        <v>1388</v>
      </c>
      <c r="E109" s="63">
        <v>3.9</v>
      </c>
      <c r="F109" s="64">
        <v>0</v>
      </c>
      <c r="G109" s="60"/>
      <c r="H109" s="60"/>
      <c r="I109" s="486">
        <f t="shared" si="1"/>
        <v>9</v>
      </c>
      <c r="J109" s="62">
        <v>1131.3</v>
      </c>
      <c r="K109" s="60" t="s">
        <v>1228</v>
      </c>
      <c r="L109" s="62" t="s">
        <v>1389</v>
      </c>
      <c r="M109" s="63">
        <v>2.4</v>
      </c>
      <c r="N109" s="64">
        <v>0.02</v>
      </c>
    </row>
    <row r="110" spans="1:14" ht="15" x14ac:dyDescent="0.25">
      <c r="A110" s="61">
        <v>10</v>
      </c>
      <c r="B110" s="62">
        <v>3033.5</v>
      </c>
      <c r="C110" s="60" t="s">
        <v>1208</v>
      </c>
      <c r="D110" s="62" t="s">
        <v>1390</v>
      </c>
      <c r="E110" s="63">
        <v>4.4000000000000004</v>
      </c>
      <c r="F110" s="64">
        <v>0</v>
      </c>
      <c r="G110" s="60"/>
      <c r="H110" s="60"/>
      <c r="I110" s="486">
        <f t="shared" si="1"/>
        <v>10</v>
      </c>
      <c r="J110" s="62">
        <v>502.5</v>
      </c>
      <c r="K110" s="60" t="s">
        <v>76</v>
      </c>
      <c r="L110" s="62" t="s">
        <v>1391</v>
      </c>
      <c r="M110" s="63">
        <v>1</v>
      </c>
      <c r="N110" s="64">
        <v>0.33</v>
      </c>
    </row>
    <row r="111" spans="1:14" ht="15" x14ac:dyDescent="0.25">
      <c r="A111" s="61"/>
      <c r="B111" s="62"/>
      <c r="C111" s="60"/>
      <c r="D111" s="62"/>
      <c r="E111" s="63"/>
      <c r="F111" s="64"/>
      <c r="G111" s="60"/>
      <c r="H111" s="60"/>
      <c r="I111" s="486"/>
      <c r="J111" s="62"/>
      <c r="K111" s="60"/>
      <c r="L111" s="62"/>
      <c r="M111" s="63"/>
      <c r="N111" s="64"/>
    </row>
    <row r="112" spans="1:14" ht="15" x14ac:dyDescent="0.25">
      <c r="A112" s="61" t="s">
        <v>1392</v>
      </c>
      <c r="B112" s="62"/>
      <c r="C112" s="60"/>
      <c r="D112" s="62"/>
      <c r="E112" s="63"/>
      <c r="F112" s="64"/>
      <c r="G112" s="60"/>
      <c r="H112" s="60"/>
      <c r="I112" s="486" t="str">
        <f t="shared" si="1"/>
        <v>Budget Pressure</v>
      </c>
      <c r="J112" s="62"/>
      <c r="K112" s="60"/>
      <c r="L112" s="62"/>
      <c r="M112" s="63"/>
      <c r="N112" s="64"/>
    </row>
    <row r="113" spans="1:14" ht="15" x14ac:dyDescent="0.25">
      <c r="A113" s="61" t="s">
        <v>1393</v>
      </c>
      <c r="B113" s="62"/>
      <c r="C113" s="60"/>
      <c r="D113" s="62"/>
      <c r="E113" s="63"/>
      <c r="F113" s="64"/>
      <c r="G113" s="60"/>
      <c r="H113" s="60"/>
      <c r="I113" s="486" t="str">
        <f t="shared" si="1"/>
        <v>[REF: Usually able to save]</v>
      </c>
      <c r="J113" s="62"/>
      <c r="K113" s="60"/>
      <c r="L113" s="62"/>
      <c r="M113" s="63"/>
      <c r="N113" s="64"/>
    </row>
    <row r="114" spans="1:14" ht="15" x14ac:dyDescent="0.25">
      <c r="A114" s="61" t="s">
        <v>1394</v>
      </c>
      <c r="B114" s="62">
        <v>671.4</v>
      </c>
      <c r="C114" s="60" t="s">
        <v>1228</v>
      </c>
      <c r="D114" s="62" t="s">
        <v>1395</v>
      </c>
      <c r="E114" s="63">
        <v>2.2000000000000002</v>
      </c>
      <c r="F114" s="64">
        <v>0.03</v>
      </c>
      <c r="G114" s="60"/>
      <c r="H114" s="60"/>
      <c r="I114" s="486" t="str">
        <f t="shared" si="1"/>
        <v>Usually breaks even</v>
      </c>
      <c r="J114" s="62">
        <v>-70.3</v>
      </c>
      <c r="K114" s="60" t="s">
        <v>76</v>
      </c>
      <c r="L114" s="62" t="s">
        <v>1396</v>
      </c>
      <c r="M114" s="63">
        <v>-0.3</v>
      </c>
      <c r="N114" s="64">
        <v>0.76</v>
      </c>
    </row>
    <row r="115" spans="1:14" ht="15" x14ac:dyDescent="0.25">
      <c r="A115" s="61" t="s">
        <v>1397</v>
      </c>
      <c r="B115" s="62">
        <v>2103.6</v>
      </c>
      <c r="C115" s="60" t="s">
        <v>1208</v>
      </c>
      <c r="D115" s="62" t="s">
        <v>1357</v>
      </c>
      <c r="E115" s="63">
        <v>4.5999999999999996</v>
      </c>
      <c r="F115" s="64">
        <v>0</v>
      </c>
      <c r="G115" s="60"/>
      <c r="H115" s="60"/>
      <c r="I115" s="486" t="str">
        <f t="shared" si="1"/>
        <v>Usually spends more than they have</v>
      </c>
      <c r="J115" s="62">
        <v>323.3</v>
      </c>
      <c r="K115" s="60" t="s">
        <v>76</v>
      </c>
      <c r="L115" s="62" t="s">
        <v>1398</v>
      </c>
      <c r="M115" s="63">
        <v>0.9</v>
      </c>
      <c r="N115" s="64">
        <v>0.35</v>
      </c>
    </row>
    <row r="116" spans="1:14" ht="15" x14ac:dyDescent="0.25">
      <c r="A116" s="61"/>
      <c r="B116" s="62"/>
      <c r="C116" s="60"/>
      <c r="D116" s="62"/>
      <c r="E116" s="63"/>
      <c r="F116" s="64"/>
      <c r="G116" s="60"/>
      <c r="H116" s="60"/>
      <c r="I116" s="486"/>
      <c r="J116" s="62"/>
      <c r="K116" s="60"/>
      <c r="L116" s="62"/>
      <c r="M116" s="63"/>
      <c r="N116" s="64"/>
    </row>
    <row r="117" spans="1:14" ht="15" x14ac:dyDescent="0.25">
      <c r="A117" s="61" t="s">
        <v>1399</v>
      </c>
      <c r="B117" s="62"/>
      <c r="C117" s="60"/>
      <c r="D117" s="62"/>
      <c r="E117" s="63"/>
      <c r="F117" s="64"/>
      <c r="G117" s="60"/>
      <c r="H117" s="60"/>
      <c r="I117" s="486" t="str">
        <f t="shared" si="1"/>
        <v>Number of credit cards in the household</v>
      </c>
      <c r="J117" s="62"/>
      <c r="K117" s="60"/>
      <c r="L117" s="62"/>
      <c r="M117" s="63"/>
      <c r="N117" s="64"/>
    </row>
    <row r="118" spans="1:14" ht="15" x14ac:dyDescent="0.25">
      <c r="A118" s="61" t="s">
        <v>1400</v>
      </c>
      <c r="B118" s="62"/>
      <c r="C118" s="60"/>
      <c r="D118" s="62"/>
      <c r="E118" s="63"/>
      <c r="F118" s="64"/>
      <c r="G118" s="60"/>
      <c r="H118" s="60"/>
      <c r="I118" s="486" t="str">
        <f t="shared" si="1"/>
        <v>[REF: no cards]</v>
      </c>
      <c r="J118" s="62"/>
      <c r="K118" s="60"/>
      <c r="L118" s="62"/>
      <c r="M118" s="63"/>
      <c r="N118" s="64"/>
    </row>
    <row r="119" spans="1:14" ht="15" x14ac:dyDescent="0.25">
      <c r="A119" s="61">
        <v>1</v>
      </c>
      <c r="B119" s="62">
        <v>539.1</v>
      </c>
      <c r="C119" s="60" t="s">
        <v>76</v>
      </c>
      <c r="D119" s="62" t="s">
        <v>1401</v>
      </c>
      <c r="E119" s="63">
        <v>1.6</v>
      </c>
      <c r="F119" s="64">
        <v>0.12</v>
      </c>
      <c r="G119" s="60"/>
      <c r="H119" s="60"/>
      <c r="I119" s="486">
        <f t="shared" si="1"/>
        <v>1</v>
      </c>
      <c r="J119" s="62">
        <v>852.5</v>
      </c>
      <c r="K119" s="60" t="s">
        <v>1208</v>
      </c>
      <c r="L119" s="62" t="s">
        <v>1402</v>
      </c>
      <c r="M119" s="63">
        <v>3.3</v>
      </c>
      <c r="N119" s="64">
        <v>0</v>
      </c>
    </row>
    <row r="120" spans="1:14" ht="15" x14ac:dyDescent="0.25">
      <c r="A120" s="61">
        <v>2</v>
      </c>
      <c r="B120" s="62">
        <v>1520.5</v>
      </c>
      <c r="C120" s="60" t="s">
        <v>1208</v>
      </c>
      <c r="D120" s="62" t="s">
        <v>1403</v>
      </c>
      <c r="E120" s="63">
        <v>3.4</v>
      </c>
      <c r="F120" s="64">
        <v>0</v>
      </c>
      <c r="G120" s="60"/>
      <c r="H120" s="60"/>
      <c r="I120" s="486">
        <f t="shared" si="1"/>
        <v>2</v>
      </c>
      <c r="J120" s="62">
        <v>2042</v>
      </c>
      <c r="K120" s="60" t="s">
        <v>1208</v>
      </c>
      <c r="L120" s="62" t="s">
        <v>1404</v>
      </c>
      <c r="M120" s="63">
        <v>6.1</v>
      </c>
      <c r="N120" s="64">
        <v>0</v>
      </c>
    </row>
    <row r="121" spans="1:14" ht="15" x14ac:dyDescent="0.25">
      <c r="A121" s="61">
        <v>3</v>
      </c>
      <c r="B121" s="62">
        <v>4066.3</v>
      </c>
      <c r="C121" s="60" t="s">
        <v>1208</v>
      </c>
      <c r="D121" s="62" t="s">
        <v>1405</v>
      </c>
      <c r="E121" s="63">
        <v>6.1</v>
      </c>
      <c r="F121" s="64">
        <v>0</v>
      </c>
      <c r="G121" s="60"/>
      <c r="H121" s="60"/>
      <c r="I121" s="486">
        <f t="shared" si="1"/>
        <v>3</v>
      </c>
      <c r="J121" s="62">
        <v>3058.9</v>
      </c>
      <c r="K121" s="60" t="s">
        <v>1208</v>
      </c>
      <c r="L121" s="62" t="s">
        <v>1406</v>
      </c>
      <c r="M121" s="63">
        <v>6.1</v>
      </c>
      <c r="N121" s="64">
        <v>0</v>
      </c>
    </row>
    <row r="122" spans="1:14" ht="15" x14ac:dyDescent="0.25">
      <c r="A122" s="61" t="s">
        <v>1407</v>
      </c>
      <c r="B122" s="62">
        <v>4501</v>
      </c>
      <c r="C122" s="60" t="s">
        <v>1208</v>
      </c>
      <c r="D122" s="62" t="s">
        <v>1408</v>
      </c>
      <c r="E122" s="63">
        <v>5.3</v>
      </c>
      <c r="F122" s="64">
        <v>0</v>
      </c>
      <c r="G122" s="60"/>
      <c r="H122" s="60"/>
      <c r="I122" s="486" t="str">
        <f t="shared" si="1"/>
        <v>4 or more</v>
      </c>
      <c r="J122" s="62">
        <v>4798.1000000000004</v>
      </c>
      <c r="K122" s="60" t="s">
        <v>1208</v>
      </c>
      <c r="L122" s="62" t="s">
        <v>1409</v>
      </c>
      <c r="M122" s="63">
        <v>7.6</v>
      </c>
      <c r="N122" s="64">
        <v>0</v>
      </c>
    </row>
    <row r="123" spans="1:14" ht="15" x14ac:dyDescent="0.25">
      <c r="A123" s="61"/>
      <c r="B123" s="62"/>
      <c r="C123" s="60"/>
      <c r="D123" s="62"/>
      <c r="E123" s="63"/>
      <c r="F123" s="64"/>
      <c r="G123" s="60"/>
      <c r="H123" s="60"/>
      <c r="I123" s="486"/>
      <c r="J123" s="62"/>
      <c r="K123" s="60"/>
      <c r="L123" s="62"/>
      <c r="M123" s="63"/>
      <c r="N123" s="64"/>
    </row>
    <row r="124" spans="1:14" ht="15" x14ac:dyDescent="0.25">
      <c r="A124" s="61" t="s">
        <v>1410</v>
      </c>
      <c r="B124" s="429">
        <v>8108</v>
      </c>
      <c r="C124" s="60"/>
      <c r="D124" s="62"/>
      <c r="E124" s="63"/>
      <c r="F124" s="64"/>
      <c r="G124" s="60"/>
      <c r="H124" s="60"/>
      <c r="I124" s="486" t="str">
        <f t="shared" ref="I124:I125" si="2">A124</f>
        <v>Number of observations (households)</v>
      </c>
      <c r="J124" s="429">
        <v>8108</v>
      </c>
      <c r="K124" s="60"/>
      <c r="L124" s="62"/>
      <c r="M124" s="63"/>
      <c r="N124" s="64"/>
    </row>
    <row r="125" spans="1:14" ht="15" x14ac:dyDescent="0.25">
      <c r="A125" s="61" t="s">
        <v>1411</v>
      </c>
      <c r="B125" s="65">
        <v>0.29409999999999997</v>
      </c>
      <c r="C125" s="60"/>
      <c r="D125" s="62"/>
      <c r="E125" s="63"/>
      <c r="F125" s="64"/>
      <c r="G125" s="60"/>
      <c r="H125" s="60"/>
      <c r="I125" s="486" t="str">
        <f t="shared" si="2"/>
        <v>Pseudo R-square</v>
      </c>
      <c r="J125" s="60">
        <v>0.16500000000000001</v>
      </c>
      <c r="K125" s="60"/>
      <c r="L125" s="60"/>
      <c r="M125" s="60"/>
      <c r="N125" s="60"/>
    </row>
    <row r="126" spans="1:14" ht="15.75" thickBot="1" x14ac:dyDescent="0.3">
      <c r="A126" s="61"/>
      <c r="B126" s="60"/>
      <c r="C126" s="66"/>
      <c r="D126" s="60"/>
      <c r="E126" s="60"/>
      <c r="F126" s="60"/>
      <c r="G126" s="60"/>
      <c r="H126" s="60"/>
      <c r="I126" s="60"/>
      <c r="J126" s="60"/>
      <c r="K126" s="60"/>
      <c r="L126" s="60"/>
      <c r="M126" s="60"/>
      <c r="N126" s="60"/>
    </row>
    <row r="127" spans="1:14" ht="15.75" thickBot="1" x14ac:dyDescent="0.3">
      <c r="A127" s="1065" t="s">
        <v>1412</v>
      </c>
      <c r="B127" s="1065"/>
      <c r="C127" s="1065"/>
      <c r="D127" s="1065"/>
      <c r="E127" s="1065"/>
      <c r="F127" s="1065"/>
      <c r="G127" s="60"/>
      <c r="H127" s="60"/>
      <c r="I127" s="1065" t="s">
        <v>1412</v>
      </c>
      <c r="J127" s="1065"/>
      <c r="K127" s="1065"/>
      <c r="L127" s="1065"/>
      <c r="M127" s="1065"/>
      <c r="N127" s="1065"/>
    </row>
    <row r="128" spans="1:14" ht="15" x14ac:dyDescent="0.25">
      <c r="A128" s="61"/>
      <c r="B128" s="60"/>
      <c r="C128" s="66"/>
      <c r="D128" s="60"/>
      <c r="E128" s="60"/>
      <c r="F128" s="60"/>
      <c r="G128" s="60"/>
      <c r="H128" s="60"/>
      <c r="I128" s="60"/>
      <c r="J128" s="60"/>
      <c r="K128" s="60"/>
      <c r="L128" s="60"/>
      <c r="M128" s="60"/>
      <c r="N128" s="60"/>
    </row>
    <row r="129" spans="1:14" ht="15" x14ac:dyDescent="0.25">
      <c r="A129" s="61"/>
      <c r="B129" s="60"/>
      <c r="C129" s="66"/>
      <c r="D129" s="60"/>
      <c r="E129" s="60"/>
      <c r="F129" s="60"/>
      <c r="G129" s="60"/>
      <c r="H129" s="60"/>
      <c r="I129" s="60"/>
      <c r="J129" s="60"/>
      <c r="K129" s="60"/>
      <c r="L129" s="60"/>
      <c r="M129" s="60"/>
      <c r="N129" s="60"/>
    </row>
    <row r="130" spans="1:14" ht="15" x14ac:dyDescent="0.25">
      <c r="A130" s="61"/>
      <c r="B130" s="60"/>
      <c r="C130" s="66"/>
      <c r="D130" s="60"/>
      <c r="E130" s="60"/>
      <c r="F130" s="60"/>
      <c r="G130" s="60"/>
      <c r="H130" s="60"/>
      <c r="I130" s="60"/>
      <c r="J130" s="60"/>
      <c r="K130" s="60"/>
      <c r="L130" s="60"/>
      <c r="M130" s="60"/>
      <c r="N130" s="60"/>
    </row>
  </sheetData>
  <sheetProtection algorithmName="SHA-512" hashValue="rDxEuwcidR2lrxcVA7BJ7hhk0Z2TgrOKx9I24XXe2Qg8X5d3koZ/yD4W99CuJZY1KWjIGHTa4OJ8Dh6tFALNsg==" saltValue="H2M/ZlozJWYh1q1MRWFoYQ==" spinCount="100000" sheet="1" objects="1" scenarios="1"/>
  <mergeCells count="28">
    <mergeCell ref="A1:F1"/>
    <mergeCell ref="I1:N1"/>
    <mergeCell ref="A2:D2"/>
    <mergeCell ref="I2:L2"/>
    <mergeCell ref="B3:E3"/>
    <mergeCell ref="J3:M3"/>
    <mergeCell ref="B4:D4"/>
    <mergeCell ref="J4:L4"/>
    <mergeCell ref="B5:D5"/>
    <mergeCell ref="J5:L5"/>
    <mergeCell ref="B6:D6"/>
    <mergeCell ref="J6:L6"/>
    <mergeCell ref="B7:F7"/>
    <mergeCell ref="J7:N7"/>
    <mergeCell ref="B8:F8"/>
    <mergeCell ref="J8:N8"/>
    <mergeCell ref="B9:F9"/>
    <mergeCell ref="J9:N9"/>
    <mergeCell ref="A127:F127"/>
    <mergeCell ref="I127:N127"/>
    <mergeCell ref="B13:D13"/>
    <mergeCell ref="J13:L13"/>
    <mergeCell ref="B10:F10"/>
    <mergeCell ref="J10:N10"/>
    <mergeCell ref="B11:F11"/>
    <mergeCell ref="J11:N11"/>
    <mergeCell ref="B12:F12"/>
    <mergeCell ref="J12:N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446"/>
  <sheetViews>
    <sheetView topLeftCell="A19" workbookViewId="0">
      <selection activeCell="D138" sqref="D138"/>
    </sheetView>
  </sheetViews>
  <sheetFormatPr defaultColWidth="9.140625" defaultRowHeight="12.75" customHeight="1" x14ac:dyDescent="0.2"/>
  <cols>
    <col min="1" max="1" width="23.5703125" style="37" customWidth="1"/>
    <col min="2" max="2" width="21.140625" style="37" customWidth="1"/>
    <col min="3" max="3" width="11.28515625" style="35" customWidth="1"/>
    <col min="4" max="4" width="12.140625" style="35" customWidth="1"/>
    <col min="5" max="5" width="11.28515625" style="35" bestFit="1" customWidth="1"/>
    <col min="6" max="6" width="12.7109375" style="35" bestFit="1" customWidth="1"/>
    <col min="7" max="7" width="12" style="35" customWidth="1"/>
    <col min="8" max="8" width="11.42578125" style="35" bestFit="1" customWidth="1"/>
    <col min="9" max="10" width="10" style="430" bestFit="1" customWidth="1"/>
    <col min="11" max="12" width="11.140625" style="430" bestFit="1" customWidth="1"/>
    <col min="13" max="13" width="11.28515625" style="430" bestFit="1" customWidth="1"/>
    <col min="14" max="17" width="9.140625" style="35"/>
    <col min="18" max="18" width="43.28515625" style="35" customWidth="1"/>
    <col min="19" max="16384" width="9.140625" style="35"/>
  </cols>
  <sheetData>
    <row r="1" spans="1:6" ht="12.75" customHeight="1" x14ac:dyDescent="0.2">
      <c r="A1" s="34" t="s">
        <v>141</v>
      </c>
      <c r="B1" s="34"/>
    </row>
    <row r="2" spans="1:6" ht="12.75" customHeight="1" x14ac:dyDescent="0.2">
      <c r="A2" s="18"/>
      <c r="B2" s="18"/>
      <c r="C2" s="19"/>
      <c r="D2" s="19"/>
      <c r="E2" s="19"/>
      <c r="F2" s="19"/>
    </row>
    <row r="3" spans="1:6" ht="12.75" customHeight="1" x14ac:dyDescent="0.2">
      <c r="A3" s="20" t="s">
        <v>142</v>
      </c>
      <c r="B3" s="20"/>
      <c r="D3" s="27" t="s">
        <v>143</v>
      </c>
      <c r="F3" s="27" t="s">
        <v>135</v>
      </c>
    </row>
    <row r="4" spans="1:6" ht="12.75" customHeight="1" x14ac:dyDescent="0.2">
      <c r="A4" s="488" t="e">
        <f>+Tables!#REF!</f>
        <v>#REF!</v>
      </c>
      <c r="B4" s="18"/>
      <c r="D4" s="144" t="str">
        <f>+Tables!D4</f>
        <v>Namita Bansal</v>
      </c>
      <c r="F4" s="144" t="e">
        <f>+Tables!#REF!</f>
        <v>#REF!</v>
      </c>
    </row>
    <row r="5" spans="1:6" ht="12.75" customHeight="1" x14ac:dyDescent="0.2">
      <c r="A5" s="488" t="str">
        <f>+Tables!A4</f>
        <v>Jon Jackson</v>
      </c>
      <c r="B5" s="21"/>
      <c r="D5" s="144" t="str">
        <f>+Tables!D5</f>
        <v>Brooke Newlove</v>
      </c>
      <c r="F5" s="144" t="str">
        <f>+Tables!F4</f>
        <v>Mike Currie</v>
      </c>
    </row>
    <row r="6" spans="1:6" ht="12.75" customHeight="1" x14ac:dyDescent="0.2">
      <c r="A6" s="488" t="e">
        <f>+Tables!#REF!</f>
        <v>#REF!</v>
      </c>
      <c r="B6" s="21"/>
      <c r="D6" s="144" t="e">
        <f>+Tables!#REF!</f>
        <v>#REF!</v>
      </c>
      <c r="F6" s="144" t="str">
        <f>+Tables!F5</f>
        <v>Taryn Pontifex</v>
      </c>
    </row>
    <row r="7" spans="1:6" ht="12.75" customHeight="1" x14ac:dyDescent="0.2">
      <c r="A7" s="488" t="str">
        <f>+Tables!A5</f>
        <v>Marcel Coopman</v>
      </c>
      <c r="B7" s="21"/>
      <c r="D7" s="144" t="e">
        <f>+Tables!#REF!</f>
        <v>#REF!</v>
      </c>
      <c r="F7" s="144" t="str">
        <f>+Tables!F6</f>
        <v>Teri Hawkins</v>
      </c>
    </row>
    <row r="8" spans="1:6" ht="12.75" customHeight="1" x14ac:dyDescent="0.2">
      <c r="A8" s="488" t="str">
        <f>+Tables!A6</f>
        <v>Mike Currie</v>
      </c>
      <c r="B8" s="21"/>
      <c r="D8" s="144" t="str">
        <f>+Tables!D6</f>
        <v>Julie O'Regan</v>
      </c>
      <c r="F8" s="681"/>
    </row>
    <row r="9" spans="1:6" ht="12.75" customHeight="1" x14ac:dyDescent="0.2">
      <c r="A9" s="488" t="str">
        <f>+Tables!A7</f>
        <v>Teri Hawkins</v>
      </c>
      <c r="B9" s="21"/>
      <c r="D9" s="144" t="str">
        <f>+Tables!D7</f>
        <v>Sascha Jovanoski</v>
      </c>
      <c r="F9" s="19"/>
    </row>
    <row r="10" spans="1:6" ht="12.75" customHeight="1" x14ac:dyDescent="0.2">
      <c r="A10" s="488" t="str">
        <f>+Tables!A8</f>
        <v>Taryn Pontifex</v>
      </c>
      <c r="B10" s="21"/>
      <c r="D10" s="144" t="str">
        <f>+Tables!D8</f>
        <v>Max Campbell</v>
      </c>
      <c r="F10" s="19"/>
    </row>
    <row r="11" spans="1:6" ht="12.75" customHeight="1" x14ac:dyDescent="0.2">
      <c r="A11" s="21"/>
      <c r="B11" s="21"/>
      <c r="D11" s="144" t="str">
        <f>+Tables!D9</f>
        <v>Mariah Foy</v>
      </c>
      <c r="F11" s="22"/>
    </row>
    <row r="12" spans="1:6" ht="12.75" customHeight="1" x14ac:dyDescent="0.2">
      <c r="A12" s="21"/>
      <c r="B12" s="21"/>
      <c r="D12" s="144" t="str">
        <f>+Tables!D10</f>
        <v>Scott Uren</v>
      </c>
      <c r="F12" s="22"/>
    </row>
    <row r="13" spans="1:6" ht="12.75" customHeight="1" x14ac:dyDescent="0.2">
      <c r="A13" s="21"/>
      <c r="B13" s="21"/>
      <c r="D13" s="144">
        <f>+Tables!D13</f>
        <v>0</v>
      </c>
      <c r="F13" s="22"/>
    </row>
    <row r="14" spans="1:6" ht="12.75" customHeight="1" x14ac:dyDescent="0.2">
      <c r="A14" s="21"/>
      <c r="B14" s="21"/>
      <c r="D14" s="681"/>
      <c r="F14" s="22"/>
    </row>
    <row r="15" spans="1:6" ht="12.75" customHeight="1" x14ac:dyDescent="0.2">
      <c r="D15" s="681"/>
      <c r="F15" s="22"/>
    </row>
    <row r="16" spans="1:6" ht="12.75" customHeight="1" x14ac:dyDescent="0.2">
      <c r="D16" s="681"/>
      <c r="F16" s="22"/>
    </row>
    <row r="17" spans="1:13" ht="12.75" customHeight="1" x14ac:dyDescent="0.2">
      <c r="D17" s="681"/>
    </row>
    <row r="18" spans="1:13" ht="12.75" customHeight="1" x14ac:dyDescent="0.2">
      <c r="A18" s="679" t="str">
        <f>+Tables!A18</f>
        <v>BOARD</v>
      </c>
      <c r="B18" s="682" t="str">
        <f>+Tables!B18</f>
        <v>BOARD</v>
      </c>
    </row>
    <row r="19" spans="1:13" ht="12.75" customHeight="1" x14ac:dyDescent="0.2">
      <c r="A19" s="679" t="str">
        <f>+Tables!A19</f>
        <v>LA</v>
      </c>
      <c r="B19" s="682" t="str">
        <f>+Tables!B19</f>
        <v>Loan Assessor</v>
      </c>
    </row>
    <row r="20" spans="1:13" ht="12.75" customHeight="1" x14ac:dyDescent="0.2">
      <c r="A20" s="679" t="str">
        <f>+Tables!A20</f>
        <v>SLA</v>
      </c>
      <c r="B20" s="683" t="str">
        <f>+Tables!B20</f>
        <v>Senior Loan Assessor</v>
      </c>
    </row>
    <row r="21" spans="1:13" ht="12.75" customHeight="1" x14ac:dyDescent="0.2">
      <c r="A21" s="679" t="str">
        <f>+Tables!A21</f>
        <v>CAL</v>
      </c>
      <c r="B21" s="683" t="str">
        <f>+Tables!B21</f>
        <v>Credit Assessment Lead</v>
      </c>
    </row>
    <row r="22" spans="1:13" ht="12.75" customHeight="1" x14ac:dyDescent="0.2">
      <c r="A22" s="679" t="str">
        <f>+Tables!A22</f>
        <v>SMC</v>
      </c>
      <c r="B22" s="683" t="str">
        <f>+Tables!B22</f>
        <v>SMC</v>
      </c>
    </row>
    <row r="23" spans="1:13" ht="12.75" customHeight="1" x14ac:dyDescent="0.2">
      <c r="A23" s="679" t="str">
        <f>+Tables!A23</f>
        <v>COO</v>
      </c>
      <c r="B23" s="683" t="str">
        <f>+Tables!B23</f>
        <v>COO</v>
      </c>
    </row>
    <row r="24" spans="1:13" ht="12.75" customHeight="1" x14ac:dyDescent="0.2">
      <c r="A24" s="679" t="str">
        <f>+Tables!A24</f>
        <v>CEO</v>
      </c>
      <c r="B24" s="683" t="str">
        <f>+Tables!B24</f>
        <v>CEO</v>
      </c>
    </row>
    <row r="25" spans="1:13" ht="12.75" customHeight="1" x14ac:dyDescent="0.2">
      <c r="A25" s="679" t="str">
        <f>+Tables!A25</f>
        <v>BOARD</v>
      </c>
      <c r="B25" s="683" t="str">
        <f>+Tables!B25</f>
        <v>BOARD</v>
      </c>
    </row>
    <row r="27" spans="1:13" ht="12.75" customHeight="1" x14ac:dyDescent="0.2">
      <c r="A27" s="18"/>
      <c r="B27" s="18"/>
      <c r="C27" s="35">
        <v>2</v>
      </c>
      <c r="D27" s="35">
        <v>3</v>
      </c>
      <c r="E27" s="35">
        <v>4</v>
      </c>
      <c r="F27" s="35">
        <v>5</v>
      </c>
      <c r="G27" s="35">
        <v>6</v>
      </c>
      <c r="H27" s="35">
        <v>7</v>
      </c>
      <c r="I27" s="430">
        <v>8</v>
      </c>
      <c r="J27" s="430">
        <v>9</v>
      </c>
      <c r="K27" s="430">
        <v>10</v>
      </c>
    </row>
    <row r="28" spans="1:13" ht="12.75" customHeight="1" x14ac:dyDescent="0.2">
      <c r="A28" s="23" t="s">
        <v>149</v>
      </c>
      <c r="B28" s="23"/>
      <c r="C28" s="19" t="s">
        <v>144</v>
      </c>
      <c r="D28" s="35" t="s">
        <v>146</v>
      </c>
      <c r="E28" s="19" t="s">
        <v>311</v>
      </c>
      <c r="F28" s="35" t="s">
        <v>1453</v>
      </c>
      <c r="G28" s="19" t="s">
        <v>1454</v>
      </c>
      <c r="H28" s="19" t="s">
        <v>1456</v>
      </c>
      <c r="I28" s="366"/>
      <c r="J28" s="366"/>
    </row>
    <row r="30" spans="1:13" ht="12.75" customHeight="1" x14ac:dyDescent="0.2">
      <c r="A30" s="41" t="s">
        <v>1459</v>
      </c>
      <c r="B30" s="25" t="s">
        <v>1460</v>
      </c>
      <c r="C30" s="136">
        <f t="shared" ref="C30:C61" si="0">VLOOKUP($B30,ProductDLA,C$27,FALSE)</f>
        <v>750000</v>
      </c>
      <c r="D30" s="136">
        <f t="shared" ref="D30:G93" si="1">VLOOKUP($B30,ProductDLA,D$27,FALSE)</f>
        <v>1000000</v>
      </c>
      <c r="E30" s="136">
        <f t="shared" si="1"/>
        <v>1500000</v>
      </c>
      <c r="F30" s="136">
        <f t="shared" si="1"/>
        <v>2000000</v>
      </c>
      <c r="G30" s="136">
        <f t="shared" ref="G30" si="2">VLOOKUP($B30,ProductDLA,G$27,FALSE)</f>
        <v>2500000</v>
      </c>
      <c r="H30" s="417">
        <v>3000000</v>
      </c>
      <c r="I30" s="690">
        <v>360</v>
      </c>
      <c r="K30" s="30">
        <v>0.8</v>
      </c>
      <c r="L30" s="699"/>
      <c r="M30" s="430" t="s">
        <v>330</v>
      </c>
    </row>
    <row r="31" spans="1:13" ht="12.75" customHeight="1" x14ac:dyDescent="0.2">
      <c r="A31" s="41" t="s">
        <v>1461</v>
      </c>
      <c r="B31" s="25" t="s">
        <v>1462</v>
      </c>
      <c r="C31" s="136">
        <f t="shared" si="0"/>
        <v>750000</v>
      </c>
      <c r="D31" s="136">
        <f t="shared" si="1"/>
        <v>1000000</v>
      </c>
      <c r="E31" s="136">
        <f t="shared" si="1"/>
        <v>1500000</v>
      </c>
      <c r="F31" s="136">
        <f t="shared" si="1"/>
        <v>2000000</v>
      </c>
      <c r="G31" s="136">
        <f t="shared" si="1"/>
        <v>2500000</v>
      </c>
      <c r="H31" s="417">
        <f t="shared" ref="H31:H62" si="3">VLOOKUP($B31,ProductDLA,H$27,FALSE)</f>
        <v>3000000</v>
      </c>
      <c r="I31" s="690">
        <v>360</v>
      </c>
      <c r="K31" s="30">
        <v>0.8</v>
      </c>
      <c r="L31" s="699">
        <v>0.9</v>
      </c>
      <c r="M31" s="430" t="s">
        <v>330</v>
      </c>
    </row>
    <row r="32" spans="1:13" ht="12.75" customHeight="1" x14ac:dyDescent="0.2">
      <c r="A32" s="41" t="s">
        <v>1463</v>
      </c>
      <c r="B32" s="25" t="s">
        <v>1464</v>
      </c>
      <c r="C32" s="136">
        <f t="shared" si="0"/>
        <v>750000</v>
      </c>
      <c r="D32" s="136">
        <f t="shared" si="1"/>
        <v>1000000</v>
      </c>
      <c r="E32" s="136">
        <f t="shared" si="1"/>
        <v>1500000</v>
      </c>
      <c r="F32" s="136">
        <f t="shared" si="1"/>
        <v>2000000</v>
      </c>
      <c r="G32" s="136">
        <f t="shared" si="1"/>
        <v>2500000</v>
      </c>
      <c r="H32" s="417">
        <f t="shared" si="3"/>
        <v>3000000</v>
      </c>
      <c r="I32" s="690">
        <v>360</v>
      </c>
      <c r="K32" s="30">
        <v>0.8</v>
      </c>
      <c r="L32" s="699">
        <v>0.95</v>
      </c>
      <c r="M32" s="430" t="s">
        <v>330</v>
      </c>
    </row>
    <row r="33" spans="1:13" ht="12.75" customHeight="1" x14ac:dyDescent="0.2">
      <c r="A33" s="41" t="s">
        <v>1465</v>
      </c>
      <c r="B33" s="25" t="s">
        <v>1466</v>
      </c>
      <c r="C33" s="136">
        <f t="shared" si="0"/>
        <v>750000</v>
      </c>
      <c r="D33" s="136">
        <f t="shared" si="1"/>
        <v>1000000</v>
      </c>
      <c r="E33" s="136">
        <f t="shared" si="1"/>
        <v>1500000</v>
      </c>
      <c r="F33" s="136">
        <f t="shared" si="1"/>
        <v>2000000</v>
      </c>
      <c r="G33" s="136">
        <f t="shared" si="1"/>
        <v>2500000</v>
      </c>
      <c r="H33" s="417">
        <f t="shared" si="3"/>
        <v>3000000</v>
      </c>
      <c r="I33" s="690">
        <v>360</v>
      </c>
      <c r="K33" s="30">
        <v>0.8</v>
      </c>
      <c r="M33" s="430" t="s">
        <v>330</v>
      </c>
    </row>
    <row r="34" spans="1:13" ht="12.75" customHeight="1" x14ac:dyDescent="0.2">
      <c r="A34" s="41" t="s">
        <v>1467</v>
      </c>
      <c r="B34" s="25" t="s">
        <v>1468</v>
      </c>
      <c r="C34" s="136">
        <f t="shared" si="0"/>
        <v>750000</v>
      </c>
      <c r="D34" s="136">
        <f t="shared" si="1"/>
        <v>1000000</v>
      </c>
      <c r="E34" s="136">
        <f t="shared" si="1"/>
        <v>1500000</v>
      </c>
      <c r="F34" s="136">
        <f t="shared" si="1"/>
        <v>2000000</v>
      </c>
      <c r="G34" s="136">
        <f t="shared" si="1"/>
        <v>2500000</v>
      </c>
      <c r="H34" s="417">
        <f t="shared" si="3"/>
        <v>3000000</v>
      </c>
      <c r="I34" s="690">
        <v>360</v>
      </c>
      <c r="K34" s="30">
        <v>0.8</v>
      </c>
      <c r="L34" s="699">
        <v>0.9</v>
      </c>
      <c r="M34" s="430" t="s">
        <v>330</v>
      </c>
    </row>
    <row r="35" spans="1:13" ht="12.75" customHeight="1" x14ac:dyDescent="0.2">
      <c r="A35" s="41" t="s">
        <v>1469</v>
      </c>
      <c r="B35" s="25" t="s">
        <v>1470</v>
      </c>
      <c r="C35" s="136">
        <f t="shared" si="0"/>
        <v>750000</v>
      </c>
      <c r="D35" s="136">
        <f t="shared" si="1"/>
        <v>1000000</v>
      </c>
      <c r="E35" s="136">
        <f t="shared" si="1"/>
        <v>1500000</v>
      </c>
      <c r="F35" s="136">
        <f t="shared" si="1"/>
        <v>2000000</v>
      </c>
      <c r="G35" s="136">
        <f t="shared" si="1"/>
        <v>2500000</v>
      </c>
      <c r="H35" s="417">
        <f t="shared" si="3"/>
        <v>3000000</v>
      </c>
      <c r="I35" s="690">
        <v>360</v>
      </c>
      <c r="K35" s="30">
        <v>0.8</v>
      </c>
      <c r="L35" s="699">
        <v>0.95</v>
      </c>
      <c r="M35" s="430" t="s">
        <v>330</v>
      </c>
    </row>
    <row r="36" spans="1:13" ht="12.75" customHeight="1" x14ac:dyDescent="0.2">
      <c r="A36" s="41" t="s">
        <v>1471</v>
      </c>
      <c r="B36" s="25" t="s">
        <v>1472</v>
      </c>
      <c r="C36" s="136">
        <f t="shared" si="0"/>
        <v>750000</v>
      </c>
      <c r="D36" s="136">
        <f t="shared" si="1"/>
        <v>1000000</v>
      </c>
      <c r="E36" s="136">
        <f t="shared" si="1"/>
        <v>1500000</v>
      </c>
      <c r="F36" s="136">
        <f t="shared" si="1"/>
        <v>2000000</v>
      </c>
      <c r="G36" s="136">
        <f t="shared" si="1"/>
        <v>2500000</v>
      </c>
      <c r="H36" s="417">
        <f t="shared" si="3"/>
        <v>3000000</v>
      </c>
      <c r="I36" s="690">
        <v>360</v>
      </c>
      <c r="K36" s="30">
        <v>0.8</v>
      </c>
      <c r="L36" s="699">
        <v>0.95</v>
      </c>
      <c r="M36" s="430" t="s">
        <v>330</v>
      </c>
    </row>
    <row r="37" spans="1:13" ht="12.75" customHeight="1" x14ac:dyDescent="0.2">
      <c r="A37" s="41" t="s">
        <v>1473</v>
      </c>
      <c r="B37" s="25" t="s">
        <v>1474</v>
      </c>
      <c r="C37" s="136">
        <f t="shared" si="0"/>
        <v>750000</v>
      </c>
      <c r="D37" s="136">
        <f t="shared" si="1"/>
        <v>1000000</v>
      </c>
      <c r="E37" s="136">
        <f t="shared" si="1"/>
        <v>1500000</v>
      </c>
      <c r="F37" s="136">
        <f t="shared" si="1"/>
        <v>2000000</v>
      </c>
      <c r="G37" s="136">
        <f t="shared" si="1"/>
        <v>2500000</v>
      </c>
      <c r="H37" s="417">
        <f t="shared" si="3"/>
        <v>3000000</v>
      </c>
      <c r="I37" s="690">
        <v>360</v>
      </c>
      <c r="K37" s="30">
        <v>0.8</v>
      </c>
      <c r="L37" s="699">
        <v>0.9</v>
      </c>
      <c r="M37" s="430" t="s">
        <v>330</v>
      </c>
    </row>
    <row r="38" spans="1:13" ht="12.75" customHeight="1" x14ac:dyDescent="0.2">
      <c r="A38" s="41" t="s">
        <v>1475</v>
      </c>
      <c r="B38" s="25" t="s">
        <v>1476</v>
      </c>
      <c r="C38" s="136">
        <f t="shared" si="0"/>
        <v>750000</v>
      </c>
      <c r="D38" s="136">
        <f t="shared" si="1"/>
        <v>1000000</v>
      </c>
      <c r="E38" s="136">
        <f t="shared" si="1"/>
        <v>1500000</v>
      </c>
      <c r="F38" s="136">
        <f t="shared" si="1"/>
        <v>2000000</v>
      </c>
      <c r="G38" s="136">
        <f t="shared" si="1"/>
        <v>2500000</v>
      </c>
      <c r="H38" s="417">
        <f t="shared" si="3"/>
        <v>3000000</v>
      </c>
      <c r="I38" s="690">
        <v>360</v>
      </c>
      <c r="K38" s="30">
        <v>0.8</v>
      </c>
      <c r="L38" s="699">
        <v>0.95</v>
      </c>
      <c r="M38" s="430" t="s">
        <v>330</v>
      </c>
    </row>
    <row r="39" spans="1:13" ht="12.75" customHeight="1" x14ac:dyDescent="0.2">
      <c r="A39" s="41" t="s">
        <v>1477</v>
      </c>
      <c r="B39" s="25" t="s">
        <v>1478</v>
      </c>
      <c r="C39" s="136">
        <f t="shared" si="0"/>
        <v>750000</v>
      </c>
      <c r="D39" s="136">
        <f t="shared" si="1"/>
        <v>1000000</v>
      </c>
      <c r="E39" s="136">
        <f t="shared" si="1"/>
        <v>1500000</v>
      </c>
      <c r="F39" s="136">
        <f t="shared" si="1"/>
        <v>2000000</v>
      </c>
      <c r="G39" s="136">
        <f t="shared" si="1"/>
        <v>2500000</v>
      </c>
      <c r="H39" s="417">
        <f t="shared" si="3"/>
        <v>3000000</v>
      </c>
      <c r="I39" s="690">
        <v>360</v>
      </c>
      <c r="K39" s="30">
        <v>0.8</v>
      </c>
      <c r="L39" s="699">
        <v>0.95</v>
      </c>
      <c r="M39" s="430" t="s">
        <v>330</v>
      </c>
    </row>
    <row r="40" spans="1:13" ht="12.75" customHeight="1" x14ac:dyDescent="0.2">
      <c r="A40" s="41" t="s">
        <v>1479</v>
      </c>
      <c r="B40" s="25" t="s">
        <v>1480</v>
      </c>
      <c r="C40" s="136">
        <f t="shared" si="0"/>
        <v>750000</v>
      </c>
      <c r="D40" s="136">
        <f t="shared" si="1"/>
        <v>1000000</v>
      </c>
      <c r="E40" s="136">
        <f t="shared" si="1"/>
        <v>1500000</v>
      </c>
      <c r="F40" s="136">
        <f t="shared" si="1"/>
        <v>2000000</v>
      </c>
      <c r="G40" s="136">
        <f t="shared" si="1"/>
        <v>2500000</v>
      </c>
      <c r="H40" s="417">
        <f t="shared" si="3"/>
        <v>3000000</v>
      </c>
      <c r="I40" s="690">
        <v>360</v>
      </c>
      <c r="K40" s="30">
        <v>0.8</v>
      </c>
      <c r="L40" s="699">
        <v>0.95</v>
      </c>
      <c r="M40" s="430" t="s">
        <v>330</v>
      </c>
    </row>
    <row r="41" spans="1:13" ht="12.75" customHeight="1" x14ac:dyDescent="0.2">
      <c r="A41" s="41" t="s">
        <v>1481</v>
      </c>
      <c r="B41" s="25" t="s">
        <v>1482</v>
      </c>
      <c r="C41" s="136">
        <f t="shared" si="0"/>
        <v>750000</v>
      </c>
      <c r="D41" s="136">
        <f t="shared" si="1"/>
        <v>1000000</v>
      </c>
      <c r="E41" s="136">
        <f t="shared" si="1"/>
        <v>1500000</v>
      </c>
      <c r="F41" s="136">
        <f t="shared" si="1"/>
        <v>2000000</v>
      </c>
      <c r="G41" s="136">
        <f t="shared" si="1"/>
        <v>2500000</v>
      </c>
      <c r="H41" s="417">
        <f t="shared" si="3"/>
        <v>3000000</v>
      </c>
      <c r="I41" s="690">
        <v>360</v>
      </c>
      <c r="K41" s="30">
        <v>0.8</v>
      </c>
      <c r="L41" s="699">
        <v>0.95</v>
      </c>
      <c r="M41" s="430" t="s">
        <v>330</v>
      </c>
    </row>
    <row r="42" spans="1:13" ht="12.75" customHeight="1" x14ac:dyDescent="0.2">
      <c r="A42" s="41" t="s">
        <v>1483</v>
      </c>
      <c r="B42" s="25" t="s">
        <v>1484</v>
      </c>
      <c r="C42" s="136">
        <f t="shared" si="0"/>
        <v>750000</v>
      </c>
      <c r="D42" s="136">
        <f t="shared" si="1"/>
        <v>1000000</v>
      </c>
      <c r="E42" s="136">
        <f t="shared" si="1"/>
        <v>1500000</v>
      </c>
      <c r="F42" s="136">
        <f t="shared" si="1"/>
        <v>2000000</v>
      </c>
      <c r="G42" s="136">
        <f t="shared" si="1"/>
        <v>2500000</v>
      </c>
      <c r="H42" s="417">
        <f t="shared" si="3"/>
        <v>3000000</v>
      </c>
      <c r="I42" s="690">
        <v>360</v>
      </c>
      <c r="K42" s="30">
        <v>0.8</v>
      </c>
      <c r="M42" s="430" t="s">
        <v>330</v>
      </c>
    </row>
    <row r="43" spans="1:13" ht="12.75" customHeight="1" x14ac:dyDescent="0.2">
      <c r="A43" s="41" t="s">
        <v>1485</v>
      </c>
      <c r="B43" s="25" t="s">
        <v>1486</v>
      </c>
      <c r="C43" s="136">
        <f t="shared" si="0"/>
        <v>750000</v>
      </c>
      <c r="D43" s="136">
        <f t="shared" si="1"/>
        <v>1000000</v>
      </c>
      <c r="E43" s="136">
        <f t="shared" si="1"/>
        <v>1500000</v>
      </c>
      <c r="F43" s="136">
        <f t="shared" si="1"/>
        <v>2000000</v>
      </c>
      <c r="G43" s="136">
        <f t="shared" si="1"/>
        <v>2500000</v>
      </c>
      <c r="H43" s="417">
        <f t="shared" si="3"/>
        <v>3000000</v>
      </c>
      <c r="I43" s="690">
        <v>360</v>
      </c>
      <c r="K43" s="30">
        <v>0.8</v>
      </c>
      <c r="L43" s="699">
        <v>0.9</v>
      </c>
      <c r="M43" s="430" t="s">
        <v>330</v>
      </c>
    </row>
    <row r="44" spans="1:13" ht="12.75" customHeight="1" x14ac:dyDescent="0.2">
      <c r="A44" s="41" t="s">
        <v>1487</v>
      </c>
      <c r="B44" s="25" t="s">
        <v>1488</v>
      </c>
      <c r="C44" s="136">
        <f t="shared" si="0"/>
        <v>750000</v>
      </c>
      <c r="D44" s="136">
        <f t="shared" si="1"/>
        <v>1000000</v>
      </c>
      <c r="E44" s="136">
        <f t="shared" si="1"/>
        <v>1500000</v>
      </c>
      <c r="F44" s="136">
        <f t="shared" si="1"/>
        <v>2000000</v>
      </c>
      <c r="G44" s="136">
        <f t="shared" si="1"/>
        <v>2500000</v>
      </c>
      <c r="H44" s="417">
        <f t="shared" si="3"/>
        <v>3000000</v>
      </c>
      <c r="I44" s="690">
        <v>360</v>
      </c>
      <c r="K44" s="30">
        <v>0.8</v>
      </c>
      <c r="L44" s="699"/>
      <c r="M44" s="430" t="s">
        <v>330</v>
      </c>
    </row>
    <row r="45" spans="1:13" ht="12.75" customHeight="1" x14ac:dyDescent="0.2">
      <c r="A45" s="41" t="s">
        <v>1489</v>
      </c>
      <c r="B45" s="25" t="s">
        <v>1490</v>
      </c>
      <c r="C45" s="136">
        <f t="shared" si="0"/>
        <v>750000</v>
      </c>
      <c r="D45" s="136">
        <f t="shared" si="1"/>
        <v>1000000</v>
      </c>
      <c r="E45" s="136">
        <f t="shared" si="1"/>
        <v>1500000</v>
      </c>
      <c r="F45" s="136">
        <f t="shared" si="1"/>
        <v>2000000</v>
      </c>
      <c r="G45" s="136">
        <f t="shared" si="1"/>
        <v>2500000</v>
      </c>
      <c r="H45" s="417">
        <f t="shared" si="3"/>
        <v>3000000</v>
      </c>
      <c r="I45" s="690">
        <v>360</v>
      </c>
      <c r="K45" s="30">
        <v>0.8</v>
      </c>
      <c r="L45" s="699">
        <v>0.9</v>
      </c>
      <c r="M45" s="430" t="s">
        <v>330</v>
      </c>
    </row>
    <row r="46" spans="1:13" ht="12.75" customHeight="1" x14ac:dyDescent="0.2">
      <c r="A46" s="41" t="s">
        <v>1491</v>
      </c>
      <c r="B46" s="25" t="s">
        <v>1492</v>
      </c>
      <c r="C46" s="136">
        <f t="shared" si="0"/>
        <v>750000</v>
      </c>
      <c r="D46" s="136">
        <f t="shared" si="1"/>
        <v>1000000</v>
      </c>
      <c r="E46" s="136">
        <f t="shared" si="1"/>
        <v>1500000</v>
      </c>
      <c r="F46" s="136">
        <f t="shared" si="1"/>
        <v>2000000</v>
      </c>
      <c r="G46" s="136">
        <f t="shared" si="1"/>
        <v>2500000</v>
      </c>
      <c r="H46" s="417">
        <f t="shared" si="3"/>
        <v>3000000</v>
      </c>
      <c r="I46" s="690">
        <v>360</v>
      </c>
      <c r="K46" s="30">
        <v>0.8</v>
      </c>
      <c r="L46" s="699">
        <v>0.9</v>
      </c>
      <c r="M46" s="430" t="s">
        <v>330</v>
      </c>
    </row>
    <row r="47" spans="1:13" ht="12.75" customHeight="1" x14ac:dyDescent="0.2">
      <c r="A47" s="41" t="s">
        <v>1493</v>
      </c>
      <c r="B47" s="25" t="s">
        <v>1494</v>
      </c>
      <c r="C47" s="136">
        <f t="shared" si="0"/>
        <v>750000</v>
      </c>
      <c r="D47" s="136">
        <f t="shared" si="1"/>
        <v>1000000</v>
      </c>
      <c r="E47" s="136">
        <f t="shared" si="1"/>
        <v>1500000</v>
      </c>
      <c r="F47" s="136">
        <f t="shared" si="1"/>
        <v>2000000</v>
      </c>
      <c r="G47" s="136">
        <f t="shared" si="1"/>
        <v>2500000</v>
      </c>
      <c r="H47" s="417">
        <f t="shared" si="3"/>
        <v>3000000</v>
      </c>
      <c r="I47" s="690">
        <v>360</v>
      </c>
      <c r="K47" s="30">
        <v>0.8</v>
      </c>
      <c r="L47" s="699">
        <v>0.9</v>
      </c>
      <c r="M47" s="430" t="s">
        <v>330</v>
      </c>
    </row>
    <row r="48" spans="1:13" ht="12.75" customHeight="1" x14ac:dyDescent="0.2">
      <c r="A48" s="41" t="s">
        <v>1495</v>
      </c>
      <c r="B48" s="25" t="s">
        <v>1496</v>
      </c>
      <c r="C48" s="136">
        <f t="shared" si="0"/>
        <v>750000</v>
      </c>
      <c r="D48" s="136">
        <f t="shared" si="1"/>
        <v>1000000</v>
      </c>
      <c r="E48" s="136">
        <f t="shared" si="1"/>
        <v>1500000</v>
      </c>
      <c r="F48" s="136">
        <f t="shared" si="1"/>
        <v>2000000</v>
      </c>
      <c r="G48" s="136">
        <f t="shared" si="1"/>
        <v>2500000</v>
      </c>
      <c r="H48" s="417">
        <f t="shared" si="3"/>
        <v>3000000</v>
      </c>
      <c r="I48" s="690">
        <v>360</v>
      </c>
      <c r="K48" s="30">
        <v>0.8</v>
      </c>
      <c r="L48" s="699">
        <v>0.9</v>
      </c>
      <c r="M48" s="430" t="s">
        <v>330</v>
      </c>
    </row>
    <row r="49" spans="1:13" ht="12.75" customHeight="1" x14ac:dyDescent="0.2">
      <c r="A49" s="41" t="s">
        <v>1497</v>
      </c>
      <c r="B49" s="25" t="s">
        <v>1498</v>
      </c>
      <c r="C49" s="136">
        <f t="shared" si="0"/>
        <v>750000</v>
      </c>
      <c r="D49" s="136">
        <f t="shared" si="1"/>
        <v>1000000</v>
      </c>
      <c r="E49" s="136">
        <f t="shared" si="1"/>
        <v>1500000</v>
      </c>
      <c r="F49" s="136">
        <f t="shared" si="1"/>
        <v>2000000</v>
      </c>
      <c r="G49" s="136">
        <f t="shared" si="1"/>
        <v>2500000</v>
      </c>
      <c r="H49" s="417">
        <f t="shared" si="3"/>
        <v>3000000</v>
      </c>
      <c r="I49" s="690">
        <v>360</v>
      </c>
      <c r="K49" s="30">
        <v>0.8</v>
      </c>
      <c r="L49" s="699">
        <v>0.9</v>
      </c>
      <c r="M49" s="430" t="s">
        <v>330</v>
      </c>
    </row>
    <row r="50" spans="1:13" ht="12.75" customHeight="1" x14ac:dyDescent="0.2">
      <c r="A50" s="41" t="s">
        <v>1499</v>
      </c>
      <c r="B50" s="25" t="s">
        <v>1500</v>
      </c>
      <c r="C50" s="136">
        <f t="shared" si="0"/>
        <v>750000</v>
      </c>
      <c r="D50" s="136">
        <f t="shared" si="1"/>
        <v>1000000</v>
      </c>
      <c r="E50" s="136">
        <f t="shared" si="1"/>
        <v>1500000</v>
      </c>
      <c r="F50" s="136">
        <f t="shared" si="1"/>
        <v>2000000</v>
      </c>
      <c r="G50" s="136">
        <f t="shared" si="1"/>
        <v>2500000</v>
      </c>
      <c r="H50" s="417">
        <f t="shared" si="3"/>
        <v>3000000</v>
      </c>
      <c r="I50" s="690">
        <v>360</v>
      </c>
      <c r="K50" s="30">
        <v>0.8</v>
      </c>
      <c r="L50" s="699">
        <v>0.9</v>
      </c>
      <c r="M50" s="430" t="s">
        <v>330</v>
      </c>
    </row>
    <row r="51" spans="1:13" ht="12.75" customHeight="1" x14ac:dyDescent="0.2">
      <c r="A51" s="41" t="s">
        <v>1501</v>
      </c>
      <c r="B51" s="25" t="s">
        <v>1502</v>
      </c>
      <c r="C51" s="136">
        <f t="shared" si="0"/>
        <v>750000</v>
      </c>
      <c r="D51" s="136">
        <f t="shared" si="1"/>
        <v>1000000</v>
      </c>
      <c r="E51" s="136">
        <f t="shared" si="1"/>
        <v>1500000</v>
      </c>
      <c r="F51" s="136">
        <f t="shared" si="1"/>
        <v>2000000</v>
      </c>
      <c r="G51" s="136">
        <f t="shared" si="1"/>
        <v>2500000</v>
      </c>
      <c r="H51" s="417">
        <f t="shared" si="3"/>
        <v>3000000</v>
      </c>
      <c r="I51" s="690">
        <v>360</v>
      </c>
      <c r="K51" s="30">
        <v>0.8</v>
      </c>
      <c r="L51" s="699">
        <v>0.9</v>
      </c>
      <c r="M51" s="430" t="s">
        <v>330</v>
      </c>
    </row>
    <row r="52" spans="1:13" ht="12.75" customHeight="1" x14ac:dyDescent="0.2">
      <c r="A52" s="41" t="s">
        <v>1503</v>
      </c>
      <c r="B52" s="25" t="s">
        <v>1504</v>
      </c>
      <c r="C52" s="136">
        <f t="shared" si="0"/>
        <v>750000</v>
      </c>
      <c r="D52" s="136">
        <f t="shared" si="1"/>
        <v>1000000</v>
      </c>
      <c r="E52" s="136">
        <f t="shared" si="1"/>
        <v>1500000</v>
      </c>
      <c r="F52" s="136">
        <f t="shared" si="1"/>
        <v>2000000</v>
      </c>
      <c r="G52" s="136">
        <f t="shared" si="1"/>
        <v>2500000</v>
      </c>
      <c r="H52" s="417">
        <f t="shared" si="3"/>
        <v>3000000</v>
      </c>
      <c r="I52" s="690">
        <v>360</v>
      </c>
      <c r="K52" s="30">
        <v>0.8</v>
      </c>
      <c r="L52" s="699">
        <v>0.9</v>
      </c>
      <c r="M52" s="430" t="s">
        <v>330</v>
      </c>
    </row>
    <row r="53" spans="1:13" ht="12.75" customHeight="1" x14ac:dyDescent="0.2">
      <c r="A53" s="41" t="s">
        <v>1505</v>
      </c>
      <c r="B53" s="25" t="s">
        <v>1506</v>
      </c>
      <c r="C53" s="136">
        <f t="shared" si="0"/>
        <v>750000</v>
      </c>
      <c r="D53" s="136">
        <f t="shared" si="1"/>
        <v>1000000</v>
      </c>
      <c r="E53" s="136">
        <f t="shared" si="1"/>
        <v>1500000</v>
      </c>
      <c r="F53" s="136">
        <f t="shared" si="1"/>
        <v>2000000</v>
      </c>
      <c r="G53" s="136">
        <f t="shared" si="1"/>
        <v>2500000</v>
      </c>
      <c r="H53" s="417">
        <f t="shared" si="3"/>
        <v>3000000</v>
      </c>
      <c r="I53" s="690">
        <v>360</v>
      </c>
      <c r="K53" s="30">
        <v>0.8</v>
      </c>
      <c r="L53" s="699">
        <v>0.9</v>
      </c>
      <c r="M53" s="430" t="s">
        <v>330</v>
      </c>
    </row>
    <row r="54" spans="1:13" ht="12.75" customHeight="1" x14ac:dyDescent="0.2">
      <c r="A54" s="41" t="s">
        <v>1507</v>
      </c>
      <c r="B54" s="25" t="s">
        <v>1508</v>
      </c>
      <c r="C54" s="136">
        <f t="shared" si="0"/>
        <v>750000</v>
      </c>
      <c r="D54" s="136">
        <f t="shared" si="1"/>
        <v>1000000</v>
      </c>
      <c r="E54" s="136">
        <f t="shared" si="1"/>
        <v>1500000</v>
      </c>
      <c r="F54" s="136">
        <f t="shared" si="1"/>
        <v>2000000</v>
      </c>
      <c r="G54" s="136">
        <f t="shared" si="1"/>
        <v>2500000</v>
      </c>
      <c r="H54" s="417">
        <f t="shared" si="3"/>
        <v>3000000</v>
      </c>
      <c r="I54" s="690">
        <v>360</v>
      </c>
      <c r="K54" s="30">
        <v>0.8</v>
      </c>
      <c r="L54" s="699">
        <v>0.9</v>
      </c>
      <c r="M54" s="430" t="s">
        <v>330</v>
      </c>
    </row>
    <row r="55" spans="1:13" ht="12.75" customHeight="1" x14ac:dyDescent="0.2">
      <c r="A55" s="41" t="s">
        <v>1509</v>
      </c>
      <c r="B55" s="25" t="s">
        <v>1510</v>
      </c>
      <c r="C55" s="136">
        <f t="shared" si="0"/>
        <v>750000</v>
      </c>
      <c r="D55" s="136">
        <f t="shared" si="1"/>
        <v>1000000</v>
      </c>
      <c r="E55" s="136">
        <f t="shared" si="1"/>
        <v>1500000</v>
      </c>
      <c r="F55" s="136">
        <f t="shared" si="1"/>
        <v>2000000</v>
      </c>
      <c r="G55" s="136">
        <f t="shared" si="1"/>
        <v>2500000</v>
      </c>
      <c r="H55" s="417">
        <f t="shared" si="3"/>
        <v>3000000</v>
      </c>
      <c r="I55" s="690">
        <v>360</v>
      </c>
      <c r="K55" s="30">
        <v>0.8</v>
      </c>
      <c r="M55" s="430" t="s">
        <v>330</v>
      </c>
    </row>
    <row r="56" spans="1:13" ht="12.75" customHeight="1" x14ac:dyDescent="0.2">
      <c r="A56" s="41" t="s">
        <v>1511</v>
      </c>
      <c r="B56" s="25" t="s">
        <v>1512</v>
      </c>
      <c r="C56" s="136">
        <f t="shared" si="0"/>
        <v>750000</v>
      </c>
      <c r="D56" s="136">
        <f t="shared" si="1"/>
        <v>1000000</v>
      </c>
      <c r="E56" s="136">
        <f t="shared" si="1"/>
        <v>1500000</v>
      </c>
      <c r="F56" s="136">
        <f t="shared" si="1"/>
        <v>2000000</v>
      </c>
      <c r="G56" s="136">
        <f t="shared" si="1"/>
        <v>2500000</v>
      </c>
      <c r="H56" s="417">
        <f t="shared" si="3"/>
        <v>3000000</v>
      </c>
      <c r="I56" s="690">
        <v>360</v>
      </c>
      <c r="K56" s="30">
        <v>0.8</v>
      </c>
      <c r="L56" s="699">
        <v>0.9</v>
      </c>
      <c r="M56" s="430" t="s">
        <v>330</v>
      </c>
    </row>
    <row r="57" spans="1:13" ht="12.75" customHeight="1" x14ac:dyDescent="0.2">
      <c r="A57" s="41" t="s">
        <v>1513</v>
      </c>
      <c r="B57" s="25" t="s">
        <v>1514</v>
      </c>
      <c r="C57" s="136">
        <f t="shared" si="0"/>
        <v>750000</v>
      </c>
      <c r="D57" s="136">
        <f t="shared" si="1"/>
        <v>1000000</v>
      </c>
      <c r="E57" s="136">
        <f t="shared" si="1"/>
        <v>1500000</v>
      </c>
      <c r="F57" s="136">
        <f t="shared" si="1"/>
        <v>2000000</v>
      </c>
      <c r="G57" s="136">
        <f t="shared" si="1"/>
        <v>2500000</v>
      </c>
      <c r="H57" s="417">
        <f t="shared" si="3"/>
        <v>3000000</v>
      </c>
      <c r="I57" s="690">
        <v>360</v>
      </c>
      <c r="K57" s="30">
        <v>0.8</v>
      </c>
      <c r="L57" s="699">
        <v>0.95</v>
      </c>
      <c r="M57" s="430" t="s">
        <v>330</v>
      </c>
    </row>
    <row r="58" spans="1:13" ht="12.75" customHeight="1" x14ac:dyDescent="0.2">
      <c r="A58" s="41" t="s">
        <v>1515</v>
      </c>
      <c r="B58" s="25" t="s">
        <v>1516</v>
      </c>
      <c r="C58" s="136">
        <f t="shared" si="0"/>
        <v>750000</v>
      </c>
      <c r="D58" s="136">
        <f t="shared" si="1"/>
        <v>1000000</v>
      </c>
      <c r="E58" s="136">
        <f t="shared" si="1"/>
        <v>1500000</v>
      </c>
      <c r="F58" s="136">
        <f t="shared" si="1"/>
        <v>2000000</v>
      </c>
      <c r="G58" s="136">
        <f t="shared" si="1"/>
        <v>2500000</v>
      </c>
      <c r="H58" s="417">
        <f t="shared" si="3"/>
        <v>3000000</v>
      </c>
      <c r="I58" s="690">
        <v>360</v>
      </c>
      <c r="K58" s="30">
        <v>0.8</v>
      </c>
      <c r="M58" s="430" t="s">
        <v>330</v>
      </c>
    </row>
    <row r="59" spans="1:13" ht="12.75" customHeight="1" x14ac:dyDescent="0.2">
      <c r="A59" s="41" t="s">
        <v>1517</v>
      </c>
      <c r="B59" s="25" t="s">
        <v>1518</v>
      </c>
      <c r="C59" s="136">
        <f t="shared" si="0"/>
        <v>750000</v>
      </c>
      <c r="D59" s="136">
        <f t="shared" si="1"/>
        <v>1000000</v>
      </c>
      <c r="E59" s="136">
        <f t="shared" si="1"/>
        <v>1500000</v>
      </c>
      <c r="F59" s="136">
        <f t="shared" si="1"/>
        <v>2000000</v>
      </c>
      <c r="G59" s="136">
        <f t="shared" si="1"/>
        <v>2500000</v>
      </c>
      <c r="H59" s="417">
        <f t="shared" si="3"/>
        <v>3000000</v>
      </c>
      <c r="I59" s="690">
        <v>360</v>
      </c>
      <c r="K59" s="30">
        <v>0.8</v>
      </c>
      <c r="L59" s="699">
        <v>0.9</v>
      </c>
      <c r="M59" s="430" t="s">
        <v>330</v>
      </c>
    </row>
    <row r="60" spans="1:13" ht="12.75" customHeight="1" x14ac:dyDescent="0.2">
      <c r="A60" s="41" t="s">
        <v>1519</v>
      </c>
      <c r="B60" s="25" t="s">
        <v>1520</v>
      </c>
      <c r="C60" s="136">
        <f t="shared" si="0"/>
        <v>750000</v>
      </c>
      <c r="D60" s="136">
        <f t="shared" si="1"/>
        <v>1000000</v>
      </c>
      <c r="E60" s="136">
        <f t="shared" si="1"/>
        <v>1500000</v>
      </c>
      <c r="F60" s="136">
        <f t="shared" si="1"/>
        <v>2000000</v>
      </c>
      <c r="G60" s="136">
        <f t="shared" si="1"/>
        <v>2500000</v>
      </c>
      <c r="H60" s="417">
        <f t="shared" si="3"/>
        <v>3000000</v>
      </c>
      <c r="I60" s="690">
        <v>360</v>
      </c>
      <c r="K60" s="30">
        <v>0.8</v>
      </c>
      <c r="L60" s="699">
        <v>0.95</v>
      </c>
      <c r="M60" s="430" t="s">
        <v>330</v>
      </c>
    </row>
    <row r="61" spans="1:13" ht="12.75" customHeight="1" x14ac:dyDescent="0.2">
      <c r="A61" s="41" t="s">
        <v>1521</v>
      </c>
      <c r="B61" s="25" t="s">
        <v>1522</v>
      </c>
      <c r="C61" s="136">
        <f t="shared" si="0"/>
        <v>750000</v>
      </c>
      <c r="D61" s="136">
        <f t="shared" si="1"/>
        <v>1000000</v>
      </c>
      <c r="E61" s="136">
        <f t="shared" si="1"/>
        <v>1500000</v>
      </c>
      <c r="F61" s="136">
        <f t="shared" si="1"/>
        <v>2000000</v>
      </c>
      <c r="G61" s="136">
        <f t="shared" si="1"/>
        <v>2500000</v>
      </c>
      <c r="H61" s="417">
        <f t="shared" si="3"/>
        <v>3000000</v>
      </c>
      <c r="I61" s="690">
        <v>360</v>
      </c>
      <c r="K61" s="30">
        <v>0.8</v>
      </c>
      <c r="L61" s="699">
        <v>0.95</v>
      </c>
      <c r="M61" s="430" t="s">
        <v>330</v>
      </c>
    </row>
    <row r="62" spans="1:13" ht="12.75" customHeight="1" x14ac:dyDescent="0.2">
      <c r="A62" s="41" t="s">
        <v>1523</v>
      </c>
      <c r="B62" s="25" t="s">
        <v>1524</v>
      </c>
      <c r="C62" s="136">
        <f t="shared" ref="C62:C93" si="4">VLOOKUP($B62,ProductDLA,C$27,FALSE)</f>
        <v>750000</v>
      </c>
      <c r="D62" s="136">
        <f t="shared" si="1"/>
        <v>1000000</v>
      </c>
      <c r="E62" s="136">
        <f t="shared" si="1"/>
        <v>1500000</v>
      </c>
      <c r="F62" s="136">
        <f t="shared" si="1"/>
        <v>2000000</v>
      </c>
      <c r="G62" s="136">
        <f t="shared" si="1"/>
        <v>2500000</v>
      </c>
      <c r="H62" s="417">
        <f t="shared" si="3"/>
        <v>3000000</v>
      </c>
      <c r="I62" s="690">
        <v>360</v>
      </c>
      <c r="K62" s="30">
        <v>0.8</v>
      </c>
      <c r="L62" s="699">
        <v>0.95</v>
      </c>
      <c r="M62" s="430" t="s">
        <v>330</v>
      </c>
    </row>
    <row r="63" spans="1:13" ht="12.75" customHeight="1" x14ac:dyDescent="0.2">
      <c r="A63" s="41" t="s">
        <v>1525</v>
      </c>
      <c r="B63" s="25" t="s">
        <v>1526</v>
      </c>
      <c r="C63" s="136">
        <f t="shared" si="4"/>
        <v>750000</v>
      </c>
      <c r="D63" s="136">
        <f t="shared" si="1"/>
        <v>1000000</v>
      </c>
      <c r="E63" s="136">
        <f t="shared" si="1"/>
        <v>1500000</v>
      </c>
      <c r="F63" s="136">
        <f t="shared" si="1"/>
        <v>2000000</v>
      </c>
      <c r="G63" s="136">
        <f t="shared" si="1"/>
        <v>2500000</v>
      </c>
      <c r="H63" s="417">
        <f t="shared" ref="H63:H94" si="5">VLOOKUP($B63,ProductDLA,H$27,FALSE)</f>
        <v>3000000</v>
      </c>
      <c r="I63" s="690">
        <v>360</v>
      </c>
      <c r="K63" s="30">
        <v>0.8</v>
      </c>
      <c r="L63" s="699">
        <v>0.95</v>
      </c>
      <c r="M63" s="430" t="s">
        <v>330</v>
      </c>
    </row>
    <row r="64" spans="1:13" ht="12.75" customHeight="1" x14ac:dyDescent="0.2">
      <c r="A64" s="41" t="s">
        <v>1527</v>
      </c>
      <c r="B64" s="25" t="s">
        <v>1528</v>
      </c>
      <c r="C64" s="136">
        <f t="shared" si="4"/>
        <v>750000</v>
      </c>
      <c r="D64" s="136">
        <f t="shared" si="1"/>
        <v>1000000</v>
      </c>
      <c r="E64" s="136">
        <f t="shared" si="1"/>
        <v>1500000</v>
      </c>
      <c r="F64" s="136">
        <f t="shared" si="1"/>
        <v>2000000</v>
      </c>
      <c r="G64" s="136">
        <f t="shared" si="1"/>
        <v>2500000</v>
      </c>
      <c r="H64" s="417">
        <f t="shared" si="5"/>
        <v>3000000</v>
      </c>
      <c r="I64" s="690">
        <v>360</v>
      </c>
      <c r="K64" s="30">
        <v>0.8</v>
      </c>
      <c r="L64" s="699">
        <v>0.95</v>
      </c>
      <c r="M64" s="430" t="s">
        <v>330</v>
      </c>
    </row>
    <row r="65" spans="1:13" ht="12.75" customHeight="1" x14ac:dyDescent="0.2">
      <c r="A65" s="41" t="s">
        <v>1529</v>
      </c>
      <c r="B65" s="25" t="s">
        <v>1530</v>
      </c>
      <c r="C65" s="136">
        <f t="shared" si="4"/>
        <v>750000</v>
      </c>
      <c r="D65" s="136">
        <f t="shared" si="1"/>
        <v>1000000</v>
      </c>
      <c r="E65" s="136">
        <f t="shared" si="1"/>
        <v>1500000</v>
      </c>
      <c r="F65" s="136">
        <f t="shared" si="1"/>
        <v>2000000</v>
      </c>
      <c r="G65" s="136">
        <f t="shared" si="1"/>
        <v>2500000</v>
      </c>
      <c r="H65" s="417">
        <f t="shared" si="5"/>
        <v>3000000</v>
      </c>
      <c r="I65" s="690">
        <v>360</v>
      </c>
      <c r="K65" s="30">
        <v>0.8</v>
      </c>
      <c r="L65" s="699">
        <v>0.95</v>
      </c>
      <c r="M65" s="430" t="s">
        <v>330</v>
      </c>
    </row>
    <row r="66" spans="1:13" ht="12.75" customHeight="1" x14ac:dyDescent="0.2">
      <c r="A66" s="41" t="s">
        <v>1531</v>
      </c>
      <c r="B66" s="25" t="s">
        <v>1532</v>
      </c>
      <c r="C66" s="136">
        <f t="shared" si="4"/>
        <v>750000</v>
      </c>
      <c r="D66" s="136">
        <f t="shared" si="1"/>
        <v>1000000</v>
      </c>
      <c r="E66" s="136">
        <f t="shared" si="1"/>
        <v>1500000</v>
      </c>
      <c r="F66" s="136">
        <f t="shared" si="1"/>
        <v>2000000</v>
      </c>
      <c r="G66" s="136">
        <f t="shared" si="1"/>
        <v>2500000</v>
      </c>
      <c r="H66" s="417">
        <f t="shared" si="5"/>
        <v>3000000</v>
      </c>
      <c r="I66" s="690">
        <v>360</v>
      </c>
      <c r="K66" s="30">
        <v>0.8</v>
      </c>
      <c r="M66" s="430" t="s">
        <v>330</v>
      </c>
    </row>
    <row r="67" spans="1:13" ht="12.75" customHeight="1" x14ac:dyDescent="0.2">
      <c r="A67" s="41" t="s">
        <v>1533</v>
      </c>
      <c r="B67" s="25" t="s">
        <v>1534</v>
      </c>
      <c r="C67" s="136">
        <f t="shared" si="4"/>
        <v>750000</v>
      </c>
      <c r="D67" s="136">
        <f t="shared" si="1"/>
        <v>1000000</v>
      </c>
      <c r="E67" s="136">
        <f t="shared" si="1"/>
        <v>1500000</v>
      </c>
      <c r="F67" s="136">
        <f t="shared" si="1"/>
        <v>2000000</v>
      </c>
      <c r="G67" s="136">
        <f t="shared" si="1"/>
        <v>2500000</v>
      </c>
      <c r="H67" s="417">
        <f t="shared" si="5"/>
        <v>3000000</v>
      </c>
      <c r="I67" s="690">
        <v>360</v>
      </c>
      <c r="K67" s="30">
        <v>0.8</v>
      </c>
      <c r="L67" s="699">
        <v>0.9</v>
      </c>
      <c r="M67" s="430" t="s">
        <v>330</v>
      </c>
    </row>
    <row r="68" spans="1:13" ht="12.75" customHeight="1" x14ac:dyDescent="0.2">
      <c r="A68" s="41" t="s">
        <v>1535</v>
      </c>
      <c r="B68" s="25" t="s">
        <v>1536</v>
      </c>
      <c r="C68" s="136">
        <f t="shared" si="4"/>
        <v>750000</v>
      </c>
      <c r="D68" s="136">
        <f t="shared" si="1"/>
        <v>1000000</v>
      </c>
      <c r="E68" s="136">
        <f t="shared" si="1"/>
        <v>1500000</v>
      </c>
      <c r="F68" s="136">
        <f t="shared" si="1"/>
        <v>2000000</v>
      </c>
      <c r="G68" s="136">
        <f t="shared" si="1"/>
        <v>2500000</v>
      </c>
      <c r="H68" s="417">
        <f t="shared" si="5"/>
        <v>3000000</v>
      </c>
      <c r="I68" s="690">
        <v>360</v>
      </c>
      <c r="K68" s="30">
        <v>0.8</v>
      </c>
      <c r="M68" s="430" t="s">
        <v>330</v>
      </c>
    </row>
    <row r="69" spans="1:13" ht="12.75" customHeight="1" x14ac:dyDescent="0.2">
      <c r="A69" s="41" t="s">
        <v>1537</v>
      </c>
      <c r="B69" s="25" t="s">
        <v>1538</v>
      </c>
      <c r="C69" s="136">
        <f t="shared" si="4"/>
        <v>750000</v>
      </c>
      <c r="D69" s="136">
        <f t="shared" si="1"/>
        <v>1000000</v>
      </c>
      <c r="E69" s="136">
        <f t="shared" si="1"/>
        <v>1500000</v>
      </c>
      <c r="F69" s="136">
        <f t="shared" si="1"/>
        <v>2000000</v>
      </c>
      <c r="G69" s="136">
        <f t="shared" si="1"/>
        <v>2500000</v>
      </c>
      <c r="H69" s="417">
        <f t="shared" si="5"/>
        <v>3000000</v>
      </c>
      <c r="I69" s="690">
        <v>360</v>
      </c>
      <c r="K69" s="30">
        <v>0.8</v>
      </c>
      <c r="L69" s="699">
        <v>0.9</v>
      </c>
      <c r="M69" s="430" t="s">
        <v>330</v>
      </c>
    </row>
    <row r="70" spans="1:13" ht="12.75" customHeight="1" x14ac:dyDescent="0.2">
      <c r="A70" s="41" t="s">
        <v>1539</v>
      </c>
      <c r="B70" s="25" t="s">
        <v>1540</v>
      </c>
      <c r="C70" s="136">
        <f t="shared" si="4"/>
        <v>750000</v>
      </c>
      <c r="D70" s="136">
        <f t="shared" si="1"/>
        <v>1000000</v>
      </c>
      <c r="E70" s="136">
        <f t="shared" si="1"/>
        <v>1500000</v>
      </c>
      <c r="F70" s="136">
        <f t="shared" si="1"/>
        <v>2000000</v>
      </c>
      <c r="G70" s="136">
        <f t="shared" si="1"/>
        <v>2500000</v>
      </c>
      <c r="H70" s="417">
        <f t="shared" si="5"/>
        <v>3000000</v>
      </c>
      <c r="I70" s="690">
        <v>360</v>
      </c>
      <c r="K70" s="30">
        <v>0.8</v>
      </c>
      <c r="L70" s="699">
        <v>0.9</v>
      </c>
      <c r="M70" s="430" t="s">
        <v>330</v>
      </c>
    </row>
    <row r="71" spans="1:13" ht="12.75" customHeight="1" x14ac:dyDescent="0.2">
      <c r="A71" s="41" t="s">
        <v>1541</v>
      </c>
      <c r="B71" s="25" t="s">
        <v>1542</v>
      </c>
      <c r="C71" s="136">
        <f t="shared" si="4"/>
        <v>750000</v>
      </c>
      <c r="D71" s="136">
        <f t="shared" si="1"/>
        <v>1000000</v>
      </c>
      <c r="E71" s="136">
        <f t="shared" si="1"/>
        <v>1500000</v>
      </c>
      <c r="F71" s="136">
        <f t="shared" si="1"/>
        <v>2000000</v>
      </c>
      <c r="G71" s="136">
        <f t="shared" si="1"/>
        <v>2500000</v>
      </c>
      <c r="H71" s="417">
        <f t="shared" si="5"/>
        <v>3000000</v>
      </c>
      <c r="I71" s="690">
        <v>360</v>
      </c>
      <c r="K71" s="30">
        <v>0.8</v>
      </c>
      <c r="L71" s="699">
        <v>0.9</v>
      </c>
      <c r="M71" s="430" t="s">
        <v>330</v>
      </c>
    </row>
    <row r="72" spans="1:13" ht="12.75" customHeight="1" x14ac:dyDescent="0.2">
      <c r="A72" s="41" t="s">
        <v>1543</v>
      </c>
      <c r="B72" s="25" t="s">
        <v>1544</v>
      </c>
      <c r="C72" s="136">
        <f t="shared" si="4"/>
        <v>750000</v>
      </c>
      <c r="D72" s="136">
        <f t="shared" si="1"/>
        <v>1000000</v>
      </c>
      <c r="E72" s="136">
        <f t="shared" si="1"/>
        <v>1500000</v>
      </c>
      <c r="F72" s="136">
        <f t="shared" si="1"/>
        <v>2000000</v>
      </c>
      <c r="G72" s="136">
        <f t="shared" si="1"/>
        <v>2500000</v>
      </c>
      <c r="H72" s="417">
        <f t="shared" si="5"/>
        <v>3000000</v>
      </c>
      <c r="I72" s="690">
        <v>360</v>
      </c>
      <c r="K72" s="30">
        <v>0.8</v>
      </c>
      <c r="L72" s="699">
        <v>0.9</v>
      </c>
      <c r="M72" s="430" t="s">
        <v>330</v>
      </c>
    </row>
    <row r="73" spans="1:13" ht="12.75" customHeight="1" x14ac:dyDescent="0.2">
      <c r="A73" s="41" t="s">
        <v>1545</v>
      </c>
      <c r="B73" s="25" t="s">
        <v>1546</v>
      </c>
      <c r="C73" s="136">
        <f t="shared" si="4"/>
        <v>750000</v>
      </c>
      <c r="D73" s="136">
        <f t="shared" si="1"/>
        <v>1000000</v>
      </c>
      <c r="E73" s="136">
        <f t="shared" si="1"/>
        <v>1500000</v>
      </c>
      <c r="F73" s="136">
        <f t="shared" si="1"/>
        <v>2000000</v>
      </c>
      <c r="G73" s="136">
        <f t="shared" si="1"/>
        <v>2500000</v>
      </c>
      <c r="H73" s="417">
        <f t="shared" si="5"/>
        <v>3000000</v>
      </c>
      <c r="I73" s="690">
        <v>360</v>
      </c>
      <c r="K73" s="30">
        <v>0.8</v>
      </c>
      <c r="L73" s="699">
        <v>0.9</v>
      </c>
      <c r="M73" s="430" t="s">
        <v>330</v>
      </c>
    </row>
    <row r="74" spans="1:13" ht="12.75" customHeight="1" x14ac:dyDescent="0.2">
      <c r="A74" s="41" t="s">
        <v>1547</v>
      </c>
      <c r="B74" s="25" t="s">
        <v>1548</v>
      </c>
      <c r="C74" s="136">
        <f t="shared" si="4"/>
        <v>750000</v>
      </c>
      <c r="D74" s="136">
        <f t="shared" si="1"/>
        <v>1000000</v>
      </c>
      <c r="E74" s="136">
        <f t="shared" si="1"/>
        <v>1500000</v>
      </c>
      <c r="F74" s="136">
        <f t="shared" si="1"/>
        <v>2000000</v>
      </c>
      <c r="G74" s="136">
        <f t="shared" si="1"/>
        <v>2500000</v>
      </c>
      <c r="H74" s="417">
        <f t="shared" si="5"/>
        <v>3000000</v>
      </c>
      <c r="I74" s="690">
        <v>360</v>
      </c>
      <c r="K74" s="30">
        <v>0.8</v>
      </c>
      <c r="L74" s="699">
        <v>0.9</v>
      </c>
      <c r="M74" s="430" t="s">
        <v>330</v>
      </c>
    </row>
    <row r="75" spans="1:13" ht="12.75" customHeight="1" x14ac:dyDescent="0.2">
      <c r="A75" s="41" t="s">
        <v>1549</v>
      </c>
      <c r="B75" s="25" t="s">
        <v>1550</v>
      </c>
      <c r="C75" s="136">
        <f t="shared" si="4"/>
        <v>750000</v>
      </c>
      <c r="D75" s="136">
        <f t="shared" si="1"/>
        <v>1000000</v>
      </c>
      <c r="E75" s="136">
        <f t="shared" si="1"/>
        <v>1500000</v>
      </c>
      <c r="F75" s="136">
        <f t="shared" si="1"/>
        <v>2000000</v>
      </c>
      <c r="G75" s="136">
        <f t="shared" si="1"/>
        <v>2500000</v>
      </c>
      <c r="H75" s="417">
        <f t="shared" si="5"/>
        <v>3000000</v>
      </c>
      <c r="I75" s="690">
        <v>360</v>
      </c>
      <c r="K75" s="30">
        <v>0.8</v>
      </c>
      <c r="L75" s="699">
        <v>0.9</v>
      </c>
      <c r="M75" s="430" t="s">
        <v>330</v>
      </c>
    </row>
    <row r="76" spans="1:13" ht="12.75" customHeight="1" x14ac:dyDescent="0.2">
      <c r="A76" s="41" t="s">
        <v>1551</v>
      </c>
      <c r="B76" s="25" t="s">
        <v>1552</v>
      </c>
      <c r="C76" s="136">
        <f t="shared" si="4"/>
        <v>750000</v>
      </c>
      <c r="D76" s="136">
        <f t="shared" si="1"/>
        <v>1000000</v>
      </c>
      <c r="E76" s="136">
        <f t="shared" si="1"/>
        <v>1500000</v>
      </c>
      <c r="F76" s="136">
        <f t="shared" si="1"/>
        <v>2000000</v>
      </c>
      <c r="G76" s="136">
        <f t="shared" si="1"/>
        <v>2500000</v>
      </c>
      <c r="H76" s="417">
        <f t="shared" si="5"/>
        <v>3000000</v>
      </c>
      <c r="I76" s="690">
        <v>360</v>
      </c>
      <c r="K76" s="30">
        <v>0.8</v>
      </c>
      <c r="L76" s="699">
        <v>0.9</v>
      </c>
      <c r="M76" s="430" t="s">
        <v>330</v>
      </c>
    </row>
    <row r="77" spans="1:13" ht="12.75" customHeight="1" x14ac:dyDescent="0.2">
      <c r="A77" s="41" t="s">
        <v>1553</v>
      </c>
      <c r="B77" s="25" t="s">
        <v>1554</v>
      </c>
      <c r="C77" s="136">
        <f t="shared" si="4"/>
        <v>750000</v>
      </c>
      <c r="D77" s="136">
        <f t="shared" si="1"/>
        <v>1000000</v>
      </c>
      <c r="E77" s="136">
        <f t="shared" si="1"/>
        <v>1500000</v>
      </c>
      <c r="F77" s="136">
        <f t="shared" si="1"/>
        <v>2000000</v>
      </c>
      <c r="G77" s="136">
        <f t="shared" si="1"/>
        <v>2500000</v>
      </c>
      <c r="H77" s="417">
        <f t="shared" si="5"/>
        <v>3000000</v>
      </c>
      <c r="I77" s="690">
        <v>360</v>
      </c>
      <c r="K77" s="30">
        <v>0.8</v>
      </c>
      <c r="L77" s="699">
        <v>0.9</v>
      </c>
      <c r="M77" s="430" t="s">
        <v>330</v>
      </c>
    </row>
    <row r="78" spans="1:13" ht="12.75" customHeight="1" x14ac:dyDescent="0.2">
      <c r="A78" s="41" t="s">
        <v>1555</v>
      </c>
      <c r="B78" s="25" t="s">
        <v>1556</v>
      </c>
      <c r="C78" s="136">
        <f t="shared" si="4"/>
        <v>750000</v>
      </c>
      <c r="D78" s="136">
        <f t="shared" si="1"/>
        <v>1000000</v>
      </c>
      <c r="E78" s="136">
        <f t="shared" si="1"/>
        <v>1500000</v>
      </c>
      <c r="F78" s="136">
        <f t="shared" si="1"/>
        <v>2000000</v>
      </c>
      <c r="G78" s="136">
        <f t="shared" si="1"/>
        <v>2500000</v>
      </c>
      <c r="H78" s="417">
        <f t="shared" si="5"/>
        <v>3000000</v>
      </c>
      <c r="I78" s="690">
        <v>360</v>
      </c>
      <c r="K78" s="30">
        <v>0.8</v>
      </c>
      <c r="L78" s="699">
        <v>0.9</v>
      </c>
      <c r="M78" s="430" t="s">
        <v>330</v>
      </c>
    </row>
    <row r="79" spans="1:13" ht="12.75" customHeight="1" x14ac:dyDescent="0.2">
      <c r="A79" s="41" t="s">
        <v>1557</v>
      </c>
      <c r="B79" s="25" t="s">
        <v>1558</v>
      </c>
      <c r="C79" s="136">
        <f t="shared" si="4"/>
        <v>750000</v>
      </c>
      <c r="D79" s="136">
        <f t="shared" si="1"/>
        <v>1000000</v>
      </c>
      <c r="E79" s="136">
        <f t="shared" si="1"/>
        <v>1500000</v>
      </c>
      <c r="F79" s="136">
        <f t="shared" si="1"/>
        <v>2000000</v>
      </c>
      <c r="G79" s="136">
        <f t="shared" si="1"/>
        <v>2500000</v>
      </c>
      <c r="H79" s="417">
        <f t="shared" si="5"/>
        <v>3000000</v>
      </c>
      <c r="I79" s="690">
        <v>360</v>
      </c>
      <c r="K79" s="30">
        <v>0.8</v>
      </c>
      <c r="M79" s="430" t="s">
        <v>330</v>
      </c>
    </row>
    <row r="80" spans="1:13" ht="12.75" customHeight="1" x14ac:dyDescent="0.2">
      <c r="A80" s="41" t="s">
        <v>1559</v>
      </c>
      <c r="B80" s="25" t="s">
        <v>1560</v>
      </c>
      <c r="C80" s="136">
        <f t="shared" si="4"/>
        <v>750000</v>
      </c>
      <c r="D80" s="136">
        <f t="shared" si="1"/>
        <v>1000000</v>
      </c>
      <c r="E80" s="136">
        <f t="shared" si="1"/>
        <v>1500000</v>
      </c>
      <c r="F80" s="136">
        <f t="shared" si="1"/>
        <v>2000000</v>
      </c>
      <c r="G80" s="136">
        <f t="shared" si="1"/>
        <v>2500000</v>
      </c>
      <c r="H80" s="417">
        <f t="shared" si="5"/>
        <v>3000000</v>
      </c>
      <c r="I80" s="690">
        <v>360</v>
      </c>
      <c r="K80" s="30">
        <v>0.8</v>
      </c>
      <c r="L80" s="699">
        <v>0.9</v>
      </c>
      <c r="M80" s="430" t="s">
        <v>330</v>
      </c>
    </row>
    <row r="81" spans="1:13" ht="12.75" customHeight="1" x14ac:dyDescent="0.2">
      <c r="A81" s="41" t="s">
        <v>1561</v>
      </c>
      <c r="B81" s="25" t="s">
        <v>1562</v>
      </c>
      <c r="C81" s="136">
        <f t="shared" si="4"/>
        <v>750000</v>
      </c>
      <c r="D81" s="136">
        <f t="shared" si="1"/>
        <v>1000000</v>
      </c>
      <c r="E81" s="136">
        <f t="shared" si="1"/>
        <v>1500000</v>
      </c>
      <c r="F81" s="136">
        <f t="shared" si="1"/>
        <v>2000000</v>
      </c>
      <c r="G81" s="136">
        <f t="shared" si="1"/>
        <v>2500000</v>
      </c>
      <c r="H81" s="417">
        <f t="shared" si="5"/>
        <v>3000000</v>
      </c>
      <c r="I81" s="690">
        <v>360</v>
      </c>
      <c r="K81" s="30">
        <v>0.8</v>
      </c>
      <c r="L81" s="699">
        <v>0.95</v>
      </c>
      <c r="M81" s="430" t="s">
        <v>330</v>
      </c>
    </row>
    <row r="82" spans="1:13" ht="12.75" customHeight="1" x14ac:dyDescent="0.2">
      <c r="A82" s="41" t="s">
        <v>1563</v>
      </c>
      <c r="B82" s="25" t="s">
        <v>1564</v>
      </c>
      <c r="C82" s="136">
        <f t="shared" si="4"/>
        <v>750000</v>
      </c>
      <c r="D82" s="136">
        <f t="shared" si="1"/>
        <v>1000000</v>
      </c>
      <c r="E82" s="136">
        <f t="shared" si="1"/>
        <v>1500000</v>
      </c>
      <c r="F82" s="136">
        <f t="shared" si="1"/>
        <v>2000000</v>
      </c>
      <c r="G82" s="136">
        <f t="shared" si="1"/>
        <v>2500000</v>
      </c>
      <c r="H82" s="417">
        <f t="shared" si="5"/>
        <v>3000000</v>
      </c>
      <c r="I82" s="690">
        <v>360</v>
      </c>
      <c r="K82" s="30">
        <v>0.8</v>
      </c>
      <c r="M82" s="430" t="s">
        <v>330</v>
      </c>
    </row>
    <row r="83" spans="1:13" ht="12.75" customHeight="1" x14ac:dyDescent="0.2">
      <c r="A83" s="41" t="s">
        <v>1565</v>
      </c>
      <c r="B83" s="25" t="s">
        <v>1566</v>
      </c>
      <c r="C83" s="136">
        <f t="shared" si="4"/>
        <v>750000</v>
      </c>
      <c r="D83" s="136">
        <f t="shared" si="1"/>
        <v>1000000</v>
      </c>
      <c r="E83" s="136">
        <f t="shared" si="1"/>
        <v>1500000</v>
      </c>
      <c r="F83" s="136">
        <f t="shared" si="1"/>
        <v>2000000</v>
      </c>
      <c r="G83" s="136">
        <f t="shared" si="1"/>
        <v>2500000</v>
      </c>
      <c r="H83" s="417">
        <f t="shared" si="5"/>
        <v>3000000</v>
      </c>
      <c r="I83" s="690">
        <v>360</v>
      </c>
      <c r="K83" s="30">
        <v>0.8</v>
      </c>
      <c r="L83" s="699">
        <v>0.9</v>
      </c>
      <c r="M83" s="430" t="s">
        <v>330</v>
      </c>
    </row>
    <row r="84" spans="1:13" ht="12.75" customHeight="1" x14ac:dyDescent="0.2">
      <c r="A84" s="41" t="s">
        <v>1567</v>
      </c>
      <c r="B84" s="25" t="s">
        <v>1568</v>
      </c>
      <c r="C84" s="136">
        <f t="shared" si="4"/>
        <v>750000</v>
      </c>
      <c r="D84" s="136">
        <f t="shared" si="1"/>
        <v>1000000</v>
      </c>
      <c r="E84" s="136">
        <f t="shared" si="1"/>
        <v>1500000</v>
      </c>
      <c r="F84" s="136">
        <f t="shared" si="1"/>
        <v>2000000</v>
      </c>
      <c r="G84" s="136">
        <f t="shared" si="1"/>
        <v>2500000</v>
      </c>
      <c r="H84" s="417">
        <f t="shared" si="5"/>
        <v>3000000</v>
      </c>
      <c r="I84" s="690">
        <v>360</v>
      </c>
      <c r="K84" s="30">
        <v>0.8</v>
      </c>
      <c r="L84" s="699">
        <v>0.95</v>
      </c>
      <c r="M84" s="430" t="s">
        <v>330</v>
      </c>
    </row>
    <row r="85" spans="1:13" ht="12.75" customHeight="1" x14ac:dyDescent="0.2">
      <c r="A85" s="41" t="s">
        <v>1569</v>
      </c>
      <c r="B85" s="25" t="s">
        <v>1570</v>
      </c>
      <c r="C85" s="136">
        <f t="shared" si="4"/>
        <v>750000</v>
      </c>
      <c r="D85" s="136">
        <f t="shared" si="1"/>
        <v>1000000</v>
      </c>
      <c r="E85" s="136">
        <f t="shared" si="1"/>
        <v>1500000</v>
      </c>
      <c r="F85" s="136">
        <f t="shared" si="1"/>
        <v>2000000</v>
      </c>
      <c r="G85" s="136">
        <f t="shared" si="1"/>
        <v>2500000</v>
      </c>
      <c r="H85" s="417">
        <f t="shared" si="5"/>
        <v>3000000</v>
      </c>
      <c r="I85" s="690">
        <v>360</v>
      </c>
      <c r="K85" s="30">
        <v>0.8</v>
      </c>
      <c r="L85" s="699">
        <v>0.95</v>
      </c>
      <c r="M85" s="430" t="s">
        <v>330</v>
      </c>
    </row>
    <row r="86" spans="1:13" ht="12.75" customHeight="1" x14ac:dyDescent="0.2">
      <c r="A86" s="41" t="s">
        <v>1571</v>
      </c>
      <c r="B86" s="25" t="s">
        <v>1572</v>
      </c>
      <c r="C86" s="136">
        <f t="shared" si="4"/>
        <v>750000</v>
      </c>
      <c r="D86" s="136">
        <f t="shared" si="1"/>
        <v>1000000</v>
      </c>
      <c r="E86" s="136">
        <f t="shared" si="1"/>
        <v>1500000</v>
      </c>
      <c r="F86" s="136">
        <f t="shared" si="1"/>
        <v>2000000</v>
      </c>
      <c r="G86" s="136">
        <f t="shared" si="1"/>
        <v>2500000</v>
      </c>
      <c r="H86" s="417">
        <f t="shared" si="5"/>
        <v>3000000</v>
      </c>
      <c r="I86" s="690">
        <v>360</v>
      </c>
      <c r="K86" s="30">
        <v>0.8</v>
      </c>
      <c r="L86" s="699">
        <v>0.95</v>
      </c>
      <c r="M86" s="430" t="s">
        <v>330</v>
      </c>
    </row>
    <row r="87" spans="1:13" ht="12.75" customHeight="1" x14ac:dyDescent="0.2">
      <c r="A87" s="41" t="s">
        <v>1573</v>
      </c>
      <c r="B87" s="25" t="s">
        <v>1574</v>
      </c>
      <c r="C87" s="136">
        <f t="shared" si="4"/>
        <v>750000</v>
      </c>
      <c r="D87" s="136">
        <f t="shared" si="1"/>
        <v>1000000</v>
      </c>
      <c r="E87" s="136">
        <f t="shared" si="1"/>
        <v>1500000</v>
      </c>
      <c r="F87" s="136">
        <f t="shared" si="1"/>
        <v>2000000</v>
      </c>
      <c r="G87" s="136">
        <f t="shared" si="1"/>
        <v>2500000</v>
      </c>
      <c r="H87" s="417">
        <f t="shared" si="5"/>
        <v>3000000</v>
      </c>
      <c r="I87" s="690">
        <v>360</v>
      </c>
      <c r="K87" s="30">
        <v>0.8</v>
      </c>
      <c r="L87" s="699">
        <v>0.95</v>
      </c>
      <c r="M87" s="430" t="s">
        <v>330</v>
      </c>
    </row>
    <row r="88" spans="1:13" ht="12.75" customHeight="1" x14ac:dyDescent="0.2">
      <c r="A88" s="41" t="s">
        <v>1575</v>
      </c>
      <c r="B88" s="25" t="s">
        <v>1576</v>
      </c>
      <c r="C88" s="136">
        <f t="shared" si="4"/>
        <v>750000</v>
      </c>
      <c r="D88" s="136">
        <f t="shared" si="1"/>
        <v>1000000</v>
      </c>
      <c r="E88" s="136">
        <f t="shared" si="1"/>
        <v>1500000</v>
      </c>
      <c r="F88" s="136">
        <f t="shared" si="1"/>
        <v>2000000</v>
      </c>
      <c r="G88" s="136">
        <f t="shared" si="1"/>
        <v>2500000</v>
      </c>
      <c r="H88" s="417">
        <f t="shared" si="5"/>
        <v>3000000</v>
      </c>
      <c r="I88" s="690">
        <v>360</v>
      </c>
      <c r="K88" s="30">
        <v>0.8</v>
      </c>
      <c r="L88" s="699">
        <v>0.95</v>
      </c>
      <c r="M88" s="430" t="s">
        <v>330</v>
      </c>
    </row>
    <row r="89" spans="1:13" ht="12.75" customHeight="1" x14ac:dyDescent="0.2">
      <c r="A89" s="41" t="s">
        <v>1577</v>
      </c>
      <c r="B89" s="25" t="s">
        <v>1578</v>
      </c>
      <c r="C89" s="136">
        <f t="shared" si="4"/>
        <v>750000</v>
      </c>
      <c r="D89" s="136">
        <f t="shared" si="1"/>
        <v>1000000</v>
      </c>
      <c r="E89" s="136">
        <f t="shared" si="1"/>
        <v>1500000</v>
      </c>
      <c r="F89" s="136">
        <f t="shared" si="1"/>
        <v>2000000</v>
      </c>
      <c r="G89" s="136">
        <f t="shared" si="1"/>
        <v>2500000</v>
      </c>
      <c r="H89" s="417">
        <f t="shared" si="5"/>
        <v>3000000</v>
      </c>
      <c r="I89" s="690">
        <v>360</v>
      </c>
      <c r="K89" s="30">
        <v>0.8</v>
      </c>
      <c r="L89" s="699">
        <v>0.95</v>
      </c>
      <c r="M89" s="430" t="s">
        <v>330</v>
      </c>
    </row>
    <row r="90" spans="1:13" ht="12.75" customHeight="1" x14ac:dyDescent="0.2">
      <c r="A90" s="41" t="s">
        <v>1579</v>
      </c>
      <c r="B90" s="25" t="s">
        <v>1580</v>
      </c>
      <c r="C90" s="136">
        <f t="shared" si="4"/>
        <v>750000</v>
      </c>
      <c r="D90" s="136">
        <f t="shared" si="1"/>
        <v>1000000</v>
      </c>
      <c r="E90" s="136">
        <f t="shared" si="1"/>
        <v>1500000</v>
      </c>
      <c r="F90" s="136">
        <f t="shared" si="1"/>
        <v>2000000</v>
      </c>
      <c r="G90" s="136">
        <f t="shared" si="1"/>
        <v>2500000</v>
      </c>
      <c r="H90" s="417">
        <f t="shared" si="5"/>
        <v>3000000</v>
      </c>
      <c r="I90" s="690">
        <v>360</v>
      </c>
      <c r="K90" s="30">
        <v>0.8</v>
      </c>
      <c r="L90" s="699">
        <v>0.95</v>
      </c>
      <c r="M90" s="430" t="s">
        <v>330</v>
      </c>
    </row>
    <row r="91" spans="1:13" ht="12.75" customHeight="1" x14ac:dyDescent="0.2">
      <c r="A91" s="41" t="s">
        <v>1581</v>
      </c>
      <c r="B91" s="25" t="s">
        <v>1582</v>
      </c>
      <c r="C91" s="136">
        <f t="shared" si="4"/>
        <v>750000</v>
      </c>
      <c r="D91" s="136">
        <f t="shared" si="1"/>
        <v>1000000</v>
      </c>
      <c r="E91" s="136">
        <f t="shared" si="1"/>
        <v>1500000</v>
      </c>
      <c r="F91" s="136">
        <f t="shared" si="1"/>
        <v>2000000</v>
      </c>
      <c r="G91" s="136">
        <f t="shared" si="1"/>
        <v>2500000</v>
      </c>
      <c r="H91" s="417">
        <f t="shared" si="5"/>
        <v>3000000</v>
      </c>
      <c r="I91" s="690">
        <v>360</v>
      </c>
      <c r="K91" s="30">
        <v>0.8</v>
      </c>
      <c r="L91" s="699"/>
      <c r="M91" s="430" t="s">
        <v>330</v>
      </c>
    </row>
    <row r="92" spans="1:13" ht="12.75" customHeight="1" x14ac:dyDescent="0.2">
      <c r="A92" s="41" t="s">
        <v>1583</v>
      </c>
      <c r="B92" s="25" t="s">
        <v>1584</v>
      </c>
      <c r="C92" s="136">
        <f t="shared" si="4"/>
        <v>750000</v>
      </c>
      <c r="D92" s="136">
        <f t="shared" si="1"/>
        <v>1000000</v>
      </c>
      <c r="E92" s="136">
        <f t="shared" si="1"/>
        <v>1500000</v>
      </c>
      <c r="F92" s="136">
        <f t="shared" si="1"/>
        <v>2000000</v>
      </c>
      <c r="G92" s="136">
        <f t="shared" si="1"/>
        <v>2500000</v>
      </c>
      <c r="H92" s="417">
        <f t="shared" si="5"/>
        <v>3000000</v>
      </c>
      <c r="I92" s="690">
        <v>360</v>
      </c>
      <c r="K92" s="30">
        <v>0.8</v>
      </c>
      <c r="L92" s="699">
        <v>0.9</v>
      </c>
      <c r="M92" s="430" t="s">
        <v>330</v>
      </c>
    </row>
    <row r="93" spans="1:13" ht="12.75" customHeight="1" x14ac:dyDescent="0.2">
      <c r="A93" s="41" t="s">
        <v>1585</v>
      </c>
      <c r="B93" s="25" t="s">
        <v>1586</v>
      </c>
      <c r="C93" s="136">
        <f t="shared" si="4"/>
        <v>750000</v>
      </c>
      <c r="D93" s="136">
        <f t="shared" si="1"/>
        <v>1000000</v>
      </c>
      <c r="E93" s="136">
        <f t="shared" si="1"/>
        <v>1500000</v>
      </c>
      <c r="F93" s="136">
        <f t="shared" si="1"/>
        <v>2000000</v>
      </c>
      <c r="G93" s="136">
        <f t="shared" si="1"/>
        <v>2500000</v>
      </c>
      <c r="H93" s="417">
        <f t="shared" si="5"/>
        <v>3000000</v>
      </c>
      <c r="I93" s="690">
        <v>360</v>
      </c>
      <c r="K93" s="30">
        <v>0.8</v>
      </c>
      <c r="M93" s="430" t="s">
        <v>330</v>
      </c>
    </row>
    <row r="94" spans="1:13" ht="12.75" customHeight="1" x14ac:dyDescent="0.2">
      <c r="A94" s="41" t="s">
        <v>1587</v>
      </c>
      <c r="B94" s="25" t="s">
        <v>1588</v>
      </c>
      <c r="C94" s="136">
        <f t="shared" ref="C94:C126" si="6">VLOOKUP($B94,ProductDLA,C$27,FALSE)</f>
        <v>750000</v>
      </c>
      <c r="D94" s="136">
        <f>VLOOKUP($B94,ProductDLA,D$27,FALSE)</f>
        <v>1000000</v>
      </c>
      <c r="E94" s="136">
        <f>VLOOKUP($B94,ProductDLA,E$27,FALSE)</f>
        <v>1500000</v>
      </c>
      <c r="F94" s="136">
        <f>VLOOKUP($B94,ProductDLA,F$27,FALSE)</f>
        <v>2000000</v>
      </c>
      <c r="G94" s="136">
        <f>VLOOKUP($B94,ProductDLA,G$27,FALSE)</f>
        <v>2500000</v>
      </c>
      <c r="H94" s="417">
        <f t="shared" si="5"/>
        <v>3000000</v>
      </c>
      <c r="I94" s="690">
        <v>360</v>
      </c>
      <c r="K94" s="30">
        <v>0.8</v>
      </c>
      <c r="L94" s="699">
        <v>0.9</v>
      </c>
      <c r="M94" s="430" t="s">
        <v>330</v>
      </c>
    </row>
    <row r="95" spans="1:13" ht="12.75" customHeight="1" x14ac:dyDescent="0.2">
      <c r="A95" s="41" t="s">
        <v>1589</v>
      </c>
      <c r="B95" s="25" t="s">
        <v>1590</v>
      </c>
      <c r="C95" s="136">
        <f t="shared" si="6"/>
        <v>750000</v>
      </c>
      <c r="D95" s="136">
        <f t="shared" ref="D95:H103" si="7">VLOOKUP($B95,ProductDLA,D$27,FALSE)</f>
        <v>1000000</v>
      </c>
      <c r="E95" s="136">
        <f t="shared" si="7"/>
        <v>1500000</v>
      </c>
      <c r="F95" s="136">
        <f t="shared" si="7"/>
        <v>2000000</v>
      </c>
      <c r="G95" s="136">
        <f t="shared" si="7"/>
        <v>2500000</v>
      </c>
      <c r="H95" s="417">
        <f t="shared" si="7"/>
        <v>3000000</v>
      </c>
      <c r="I95" s="690">
        <v>360</v>
      </c>
      <c r="K95" s="30">
        <v>0.8</v>
      </c>
      <c r="L95" s="699">
        <v>0.9</v>
      </c>
      <c r="M95" s="430" t="s">
        <v>330</v>
      </c>
    </row>
    <row r="96" spans="1:13" ht="12.75" customHeight="1" x14ac:dyDescent="0.2">
      <c r="A96" s="41" t="s">
        <v>1591</v>
      </c>
      <c r="B96" s="25" t="s">
        <v>1592</v>
      </c>
      <c r="C96" s="136">
        <f t="shared" si="6"/>
        <v>750000</v>
      </c>
      <c r="D96" s="136">
        <f t="shared" si="7"/>
        <v>1000000</v>
      </c>
      <c r="E96" s="136">
        <f t="shared" si="7"/>
        <v>1500000</v>
      </c>
      <c r="F96" s="136">
        <f t="shared" si="7"/>
        <v>2000000</v>
      </c>
      <c r="G96" s="136">
        <f t="shared" si="7"/>
        <v>2500000</v>
      </c>
      <c r="H96" s="417">
        <f t="shared" si="7"/>
        <v>3000000</v>
      </c>
      <c r="I96" s="690">
        <v>360</v>
      </c>
      <c r="K96" s="30">
        <v>0.8</v>
      </c>
      <c r="L96" s="699">
        <v>0.9</v>
      </c>
      <c r="M96" s="430" t="s">
        <v>330</v>
      </c>
    </row>
    <row r="97" spans="1:13" ht="12.75" customHeight="1" x14ac:dyDescent="0.2">
      <c r="A97" s="41" t="s">
        <v>1593</v>
      </c>
      <c r="B97" s="25" t="s">
        <v>1594</v>
      </c>
      <c r="C97" s="136">
        <f t="shared" si="6"/>
        <v>750000</v>
      </c>
      <c r="D97" s="136">
        <f t="shared" si="7"/>
        <v>1000000</v>
      </c>
      <c r="E97" s="136">
        <f t="shared" si="7"/>
        <v>1500000</v>
      </c>
      <c r="F97" s="136">
        <f t="shared" si="7"/>
        <v>2000000</v>
      </c>
      <c r="G97" s="136">
        <f t="shared" si="7"/>
        <v>2500000</v>
      </c>
      <c r="H97" s="417">
        <f t="shared" si="7"/>
        <v>3000000</v>
      </c>
      <c r="I97" s="690">
        <v>360</v>
      </c>
      <c r="K97" s="30">
        <v>0.8</v>
      </c>
      <c r="L97" s="699">
        <v>0.9</v>
      </c>
      <c r="M97" s="430" t="s">
        <v>330</v>
      </c>
    </row>
    <row r="98" spans="1:13" ht="12.75" customHeight="1" x14ac:dyDescent="0.2">
      <c r="A98" s="41" t="s">
        <v>1595</v>
      </c>
      <c r="B98" s="25" t="s">
        <v>1596</v>
      </c>
      <c r="C98" s="136">
        <f t="shared" si="6"/>
        <v>750000</v>
      </c>
      <c r="D98" s="136">
        <f t="shared" si="7"/>
        <v>1000000</v>
      </c>
      <c r="E98" s="136">
        <f t="shared" si="7"/>
        <v>1500000</v>
      </c>
      <c r="F98" s="136">
        <f t="shared" si="7"/>
        <v>2000000</v>
      </c>
      <c r="G98" s="136">
        <f t="shared" si="7"/>
        <v>2500000</v>
      </c>
      <c r="H98" s="417">
        <f t="shared" si="7"/>
        <v>3000000</v>
      </c>
      <c r="I98" s="690">
        <v>360</v>
      </c>
      <c r="K98" s="30">
        <v>0.8</v>
      </c>
      <c r="L98" s="699">
        <v>0.9</v>
      </c>
      <c r="M98" s="430" t="s">
        <v>330</v>
      </c>
    </row>
    <row r="99" spans="1:13" ht="12.75" customHeight="1" x14ac:dyDescent="0.2">
      <c r="A99" s="41" t="s">
        <v>1597</v>
      </c>
      <c r="B99" s="25" t="s">
        <v>1598</v>
      </c>
      <c r="C99" s="136">
        <f t="shared" si="6"/>
        <v>750000</v>
      </c>
      <c r="D99" s="136">
        <f t="shared" si="7"/>
        <v>1000000</v>
      </c>
      <c r="E99" s="136">
        <f t="shared" si="7"/>
        <v>1500000</v>
      </c>
      <c r="F99" s="136">
        <f t="shared" si="7"/>
        <v>2000000</v>
      </c>
      <c r="G99" s="136">
        <f t="shared" si="7"/>
        <v>2500000</v>
      </c>
      <c r="H99" s="417">
        <f t="shared" si="7"/>
        <v>3000000</v>
      </c>
      <c r="I99" s="690">
        <v>360</v>
      </c>
      <c r="K99" s="30">
        <v>0.8</v>
      </c>
      <c r="L99" s="699">
        <v>0.9</v>
      </c>
      <c r="M99" s="430" t="s">
        <v>330</v>
      </c>
    </row>
    <row r="100" spans="1:13" ht="12.75" customHeight="1" x14ac:dyDescent="0.2">
      <c r="A100" s="41" t="s">
        <v>1599</v>
      </c>
      <c r="B100" s="25" t="s">
        <v>1600</v>
      </c>
      <c r="C100" s="136">
        <f t="shared" si="6"/>
        <v>750000</v>
      </c>
      <c r="D100" s="136">
        <f t="shared" si="7"/>
        <v>1000000</v>
      </c>
      <c r="E100" s="136">
        <f t="shared" si="7"/>
        <v>1500000</v>
      </c>
      <c r="F100" s="136">
        <f t="shared" si="7"/>
        <v>2000000</v>
      </c>
      <c r="G100" s="136">
        <f t="shared" si="7"/>
        <v>2500000</v>
      </c>
      <c r="H100" s="417">
        <f t="shared" si="7"/>
        <v>3000000</v>
      </c>
      <c r="I100" s="690">
        <v>360</v>
      </c>
      <c r="K100" s="30">
        <v>0.8</v>
      </c>
      <c r="L100" s="699">
        <v>0.9</v>
      </c>
      <c r="M100" s="430" t="s">
        <v>330</v>
      </c>
    </row>
    <row r="101" spans="1:13" ht="12.75" customHeight="1" x14ac:dyDescent="0.2">
      <c r="A101" s="41" t="s">
        <v>1601</v>
      </c>
      <c r="B101" s="25" t="s">
        <v>1602</v>
      </c>
      <c r="C101" s="136">
        <f t="shared" si="6"/>
        <v>750000</v>
      </c>
      <c r="D101" s="136">
        <f t="shared" si="7"/>
        <v>1000000</v>
      </c>
      <c r="E101" s="136">
        <f t="shared" si="7"/>
        <v>1500000</v>
      </c>
      <c r="F101" s="136">
        <f t="shared" si="7"/>
        <v>2000000</v>
      </c>
      <c r="G101" s="136">
        <f t="shared" si="7"/>
        <v>2500000</v>
      </c>
      <c r="H101" s="417">
        <f t="shared" si="7"/>
        <v>3000000</v>
      </c>
      <c r="I101" s="690">
        <v>360</v>
      </c>
      <c r="K101" s="30">
        <v>0.8</v>
      </c>
      <c r="L101" s="699">
        <v>0.9</v>
      </c>
      <c r="M101" s="430" t="s">
        <v>330</v>
      </c>
    </row>
    <row r="102" spans="1:13" ht="12.75" customHeight="1" x14ac:dyDescent="0.2">
      <c r="A102" s="41" t="s">
        <v>1603</v>
      </c>
      <c r="B102" s="25" t="s">
        <v>1604</v>
      </c>
      <c r="C102" s="136">
        <f t="shared" si="6"/>
        <v>750000</v>
      </c>
      <c r="D102" s="136">
        <f t="shared" si="7"/>
        <v>1000000</v>
      </c>
      <c r="E102" s="136">
        <f t="shared" si="7"/>
        <v>1500000</v>
      </c>
      <c r="F102" s="136">
        <f t="shared" si="7"/>
        <v>2000000</v>
      </c>
      <c r="G102" s="136">
        <f t="shared" si="7"/>
        <v>2500000</v>
      </c>
      <c r="H102" s="417">
        <f t="shared" si="7"/>
        <v>3000000</v>
      </c>
      <c r="I102" s="690">
        <v>360</v>
      </c>
      <c r="K102" s="30">
        <v>0.8</v>
      </c>
      <c r="L102" s="699">
        <v>0.9</v>
      </c>
      <c r="M102" s="430" t="s">
        <v>330</v>
      </c>
    </row>
    <row r="103" spans="1:13" ht="12.75" customHeight="1" x14ac:dyDescent="0.2">
      <c r="A103" s="41" t="s">
        <v>1605</v>
      </c>
      <c r="B103" s="25" t="s">
        <v>1606</v>
      </c>
      <c r="C103" s="136">
        <f t="shared" si="6"/>
        <v>750000</v>
      </c>
      <c r="D103" s="136">
        <f t="shared" si="7"/>
        <v>1000000</v>
      </c>
      <c r="E103" s="136">
        <f t="shared" si="7"/>
        <v>1500000</v>
      </c>
      <c r="F103" s="136">
        <f t="shared" si="7"/>
        <v>2000000</v>
      </c>
      <c r="G103" s="136">
        <f t="shared" si="7"/>
        <v>2500000</v>
      </c>
      <c r="H103" s="417">
        <f t="shared" si="7"/>
        <v>3000000</v>
      </c>
      <c r="I103" s="690">
        <v>360</v>
      </c>
      <c r="K103" s="30">
        <v>0.8</v>
      </c>
      <c r="L103" s="699">
        <v>0.9</v>
      </c>
      <c r="M103" s="430" t="s">
        <v>330</v>
      </c>
    </row>
    <row r="104" spans="1:13" ht="12.75" customHeight="1" x14ac:dyDescent="0.2">
      <c r="A104" s="18" t="s">
        <v>1421</v>
      </c>
      <c r="B104" s="23" t="s">
        <v>152</v>
      </c>
      <c r="C104" s="136">
        <f t="shared" si="6"/>
        <v>750000</v>
      </c>
      <c r="D104" s="136">
        <f t="shared" ref="D104:K104" si="8">VLOOKUP($B104,ProductDLA,D$27,FALSE)</f>
        <v>1000000</v>
      </c>
      <c r="E104" s="136">
        <f t="shared" si="8"/>
        <v>1500000</v>
      </c>
      <c r="F104" s="136">
        <f t="shared" si="8"/>
        <v>2000000</v>
      </c>
      <c r="G104" s="136">
        <f t="shared" si="8"/>
        <v>2500000</v>
      </c>
      <c r="H104" s="417">
        <f t="shared" si="8"/>
        <v>3000000</v>
      </c>
      <c r="I104" s="691">
        <f t="shared" si="8"/>
        <v>360</v>
      </c>
      <c r="J104" s="684">
        <f t="shared" si="8"/>
        <v>0</v>
      </c>
      <c r="K104" s="684">
        <f t="shared" si="8"/>
        <v>0.8</v>
      </c>
      <c r="L104" s="699">
        <v>0.95</v>
      </c>
      <c r="M104" s="430" t="s">
        <v>330</v>
      </c>
    </row>
    <row r="105" spans="1:13" ht="12.75" customHeight="1" x14ac:dyDescent="0.2">
      <c r="A105" s="18" t="s">
        <v>1415</v>
      </c>
      <c r="B105" s="18" t="s">
        <v>152</v>
      </c>
      <c r="C105" s="136">
        <f t="shared" si="6"/>
        <v>750000</v>
      </c>
      <c r="D105" s="136">
        <f t="shared" ref="D105:D114" si="9">VLOOKUP($B105,ProductDLA,D$27,FALSE)</f>
        <v>1000000</v>
      </c>
      <c r="E105" s="136">
        <f t="shared" ref="E105:K114" si="10">VLOOKUP($B105,ProductDLA,E$27,FALSE)</f>
        <v>1500000</v>
      </c>
      <c r="F105" s="136">
        <f t="shared" si="10"/>
        <v>2000000</v>
      </c>
      <c r="G105" s="136">
        <f t="shared" si="10"/>
        <v>2500000</v>
      </c>
      <c r="H105" s="417">
        <f t="shared" si="10"/>
        <v>3000000</v>
      </c>
      <c r="I105" s="691">
        <f t="shared" si="10"/>
        <v>360</v>
      </c>
      <c r="J105" s="684">
        <f t="shared" si="10"/>
        <v>0</v>
      </c>
      <c r="K105" s="684">
        <f t="shared" si="10"/>
        <v>0.8</v>
      </c>
      <c r="L105" s="699">
        <v>0.9</v>
      </c>
      <c r="M105" s="430" t="s">
        <v>330</v>
      </c>
    </row>
    <row r="106" spans="1:13" ht="12.75" customHeight="1" x14ac:dyDescent="0.2">
      <c r="A106" s="18" t="s">
        <v>151</v>
      </c>
      <c r="B106" s="18" t="s">
        <v>152</v>
      </c>
      <c r="C106" s="136">
        <f t="shared" si="6"/>
        <v>750000</v>
      </c>
      <c r="D106" s="136">
        <f t="shared" si="9"/>
        <v>1000000</v>
      </c>
      <c r="E106" s="136">
        <f t="shared" si="10"/>
        <v>1500000</v>
      </c>
      <c r="F106" s="136">
        <f t="shared" si="10"/>
        <v>2000000</v>
      </c>
      <c r="G106" s="136">
        <f t="shared" si="10"/>
        <v>2500000</v>
      </c>
      <c r="H106" s="417">
        <f t="shared" si="10"/>
        <v>3000000</v>
      </c>
      <c r="I106" s="691">
        <f t="shared" si="10"/>
        <v>360</v>
      </c>
      <c r="J106" s="684">
        <f t="shared" si="10"/>
        <v>0</v>
      </c>
      <c r="K106" s="684">
        <f t="shared" si="10"/>
        <v>0.8</v>
      </c>
      <c r="L106" s="699">
        <v>0.8</v>
      </c>
      <c r="M106" s="430" t="s">
        <v>330</v>
      </c>
    </row>
    <row r="107" spans="1:13" ht="12.75" customHeight="1" x14ac:dyDescent="0.2">
      <c r="A107" s="18" t="s">
        <v>153</v>
      </c>
      <c r="B107" s="18" t="s">
        <v>154</v>
      </c>
      <c r="C107" s="136">
        <f t="shared" si="6"/>
        <v>750000</v>
      </c>
      <c r="D107" s="136">
        <f t="shared" si="9"/>
        <v>1000000</v>
      </c>
      <c r="E107" s="136">
        <f t="shared" si="10"/>
        <v>1500000</v>
      </c>
      <c r="F107" s="136">
        <f t="shared" si="10"/>
        <v>2000000</v>
      </c>
      <c r="G107" s="136">
        <f t="shared" si="10"/>
        <v>2500000</v>
      </c>
      <c r="H107" s="417">
        <f t="shared" si="10"/>
        <v>3000000</v>
      </c>
      <c r="I107" s="691">
        <f t="shared" si="10"/>
        <v>360</v>
      </c>
      <c r="J107" s="684">
        <f t="shared" si="10"/>
        <v>0</v>
      </c>
      <c r="K107" s="684">
        <f t="shared" si="10"/>
        <v>0.8</v>
      </c>
      <c r="L107" s="699">
        <v>0.95</v>
      </c>
      <c r="M107" s="430" t="s">
        <v>330</v>
      </c>
    </row>
    <row r="108" spans="1:13" ht="12.75" customHeight="1" x14ac:dyDescent="0.2">
      <c r="A108" s="18" t="s">
        <v>155</v>
      </c>
      <c r="B108" s="18" t="s">
        <v>156</v>
      </c>
      <c r="C108" s="136">
        <f t="shared" si="6"/>
        <v>750000</v>
      </c>
      <c r="D108" s="136">
        <f t="shared" si="9"/>
        <v>1000000</v>
      </c>
      <c r="E108" s="136">
        <f t="shared" si="10"/>
        <v>1500000</v>
      </c>
      <c r="F108" s="136">
        <f t="shared" si="10"/>
        <v>2000000</v>
      </c>
      <c r="G108" s="136">
        <f t="shared" si="10"/>
        <v>2500000</v>
      </c>
      <c r="H108" s="417">
        <f t="shared" si="10"/>
        <v>3000000</v>
      </c>
      <c r="I108" s="691">
        <f t="shared" si="10"/>
        <v>360</v>
      </c>
      <c r="J108" s="684">
        <f t="shared" si="10"/>
        <v>0</v>
      </c>
      <c r="K108" s="684">
        <f t="shared" si="10"/>
        <v>0.8</v>
      </c>
      <c r="L108" s="699">
        <v>0.95</v>
      </c>
      <c r="M108" s="430" t="s">
        <v>330</v>
      </c>
    </row>
    <row r="109" spans="1:13" ht="12.75" customHeight="1" x14ac:dyDescent="0.2">
      <c r="A109" s="25" t="s">
        <v>157</v>
      </c>
      <c r="B109" s="25" t="s">
        <v>158</v>
      </c>
      <c r="C109" s="136">
        <f t="shared" si="6"/>
        <v>750000</v>
      </c>
      <c r="D109" s="136">
        <f t="shared" si="9"/>
        <v>1000000</v>
      </c>
      <c r="E109" s="136">
        <f t="shared" si="10"/>
        <v>1500000</v>
      </c>
      <c r="F109" s="136">
        <f t="shared" si="10"/>
        <v>2000000</v>
      </c>
      <c r="G109" s="136">
        <f t="shared" si="10"/>
        <v>2500000</v>
      </c>
      <c r="H109" s="417">
        <f t="shared" si="10"/>
        <v>3000000</v>
      </c>
      <c r="I109" s="691">
        <f t="shared" si="10"/>
        <v>360</v>
      </c>
      <c r="J109" s="684">
        <f t="shared" si="10"/>
        <v>0</v>
      </c>
      <c r="K109" s="684">
        <f t="shared" si="10"/>
        <v>0.8</v>
      </c>
      <c r="L109" s="699">
        <v>0.95</v>
      </c>
      <c r="M109" s="430" t="s">
        <v>330</v>
      </c>
    </row>
    <row r="110" spans="1:13" ht="12.75" customHeight="1" x14ac:dyDescent="0.2">
      <c r="A110" s="25" t="s">
        <v>159</v>
      </c>
      <c r="B110" s="25" t="s">
        <v>160</v>
      </c>
      <c r="C110" s="136">
        <f t="shared" si="6"/>
        <v>750000</v>
      </c>
      <c r="D110" s="136">
        <f t="shared" si="9"/>
        <v>1000000</v>
      </c>
      <c r="E110" s="136">
        <f t="shared" si="10"/>
        <v>1500000</v>
      </c>
      <c r="F110" s="136">
        <f t="shared" si="10"/>
        <v>2000000</v>
      </c>
      <c r="G110" s="136">
        <f t="shared" si="10"/>
        <v>2500000</v>
      </c>
      <c r="H110" s="417">
        <f t="shared" si="10"/>
        <v>3000000</v>
      </c>
      <c r="I110" s="691">
        <f t="shared" si="10"/>
        <v>360</v>
      </c>
      <c r="J110" s="684">
        <f t="shared" si="10"/>
        <v>0</v>
      </c>
      <c r="K110" s="684">
        <f t="shared" si="10"/>
        <v>0.8</v>
      </c>
      <c r="L110" s="699">
        <v>0.95</v>
      </c>
      <c r="M110" s="430" t="s">
        <v>330</v>
      </c>
    </row>
    <row r="111" spans="1:13" ht="12.75" customHeight="1" x14ac:dyDescent="0.2">
      <c r="A111" s="25" t="s">
        <v>161</v>
      </c>
      <c r="B111" s="25" t="s">
        <v>162</v>
      </c>
      <c r="C111" s="136">
        <f t="shared" si="6"/>
        <v>750000</v>
      </c>
      <c r="D111" s="136">
        <f t="shared" si="9"/>
        <v>1000000</v>
      </c>
      <c r="E111" s="136">
        <f t="shared" si="10"/>
        <v>1500000</v>
      </c>
      <c r="F111" s="136">
        <f t="shared" si="10"/>
        <v>2000000</v>
      </c>
      <c r="G111" s="136">
        <f t="shared" si="10"/>
        <v>2500000</v>
      </c>
      <c r="H111" s="417">
        <f t="shared" si="10"/>
        <v>3000000</v>
      </c>
      <c r="I111" s="691">
        <f t="shared" si="10"/>
        <v>360</v>
      </c>
      <c r="J111" s="684">
        <f t="shared" si="10"/>
        <v>0</v>
      </c>
      <c r="K111" s="684">
        <f t="shared" si="10"/>
        <v>0.8</v>
      </c>
      <c r="L111" s="699">
        <v>0.95</v>
      </c>
      <c r="M111" s="430" t="s">
        <v>330</v>
      </c>
    </row>
    <row r="112" spans="1:13" ht="12.75" customHeight="1" x14ac:dyDescent="0.2">
      <c r="A112" s="25" t="s">
        <v>163</v>
      </c>
      <c r="B112" s="25" t="s">
        <v>164</v>
      </c>
      <c r="C112" s="136">
        <f t="shared" si="6"/>
        <v>750000</v>
      </c>
      <c r="D112" s="136">
        <f t="shared" si="9"/>
        <v>1000000</v>
      </c>
      <c r="E112" s="136">
        <f t="shared" si="10"/>
        <v>1500000</v>
      </c>
      <c r="F112" s="136">
        <f t="shared" si="10"/>
        <v>2000000</v>
      </c>
      <c r="G112" s="136">
        <f t="shared" si="10"/>
        <v>2500000</v>
      </c>
      <c r="H112" s="417">
        <f t="shared" si="10"/>
        <v>3000000</v>
      </c>
      <c r="I112" s="691">
        <f t="shared" si="10"/>
        <v>360</v>
      </c>
      <c r="J112" s="684">
        <f t="shared" si="10"/>
        <v>0</v>
      </c>
      <c r="K112" s="684">
        <f t="shared" si="10"/>
        <v>0.8</v>
      </c>
      <c r="L112" s="699">
        <v>0.95</v>
      </c>
      <c r="M112" s="430" t="s">
        <v>330</v>
      </c>
    </row>
    <row r="113" spans="1:13" ht="12.75" customHeight="1" x14ac:dyDescent="0.2">
      <c r="A113" s="25" t="s">
        <v>165</v>
      </c>
      <c r="B113" s="25" t="s">
        <v>166</v>
      </c>
      <c r="C113" s="136">
        <f t="shared" si="6"/>
        <v>750000</v>
      </c>
      <c r="D113" s="136">
        <f t="shared" si="9"/>
        <v>1000000</v>
      </c>
      <c r="E113" s="136">
        <f t="shared" si="10"/>
        <v>1500000</v>
      </c>
      <c r="F113" s="136">
        <f t="shared" si="10"/>
        <v>2000000</v>
      </c>
      <c r="G113" s="136">
        <f t="shared" si="10"/>
        <v>2500000</v>
      </c>
      <c r="H113" s="417">
        <f t="shared" si="10"/>
        <v>3000000</v>
      </c>
      <c r="I113" s="691">
        <f t="shared" si="10"/>
        <v>360</v>
      </c>
      <c r="J113" s="684">
        <f t="shared" si="10"/>
        <v>0</v>
      </c>
      <c r="K113" s="684">
        <f t="shared" si="10"/>
        <v>0.8</v>
      </c>
      <c r="L113" s="699">
        <v>0.9</v>
      </c>
      <c r="M113" s="430" t="s">
        <v>330</v>
      </c>
    </row>
    <row r="114" spans="1:13" ht="12.75" customHeight="1" x14ac:dyDescent="0.2">
      <c r="A114" s="25" t="s">
        <v>167</v>
      </c>
      <c r="B114" s="25" t="s">
        <v>168</v>
      </c>
      <c r="C114" s="136">
        <f t="shared" si="6"/>
        <v>750000</v>
      </c>
      <c r="D114" s="136">
        <f t="shared" si="9"/>
        <v>1000000</v>
      </c>
      <c r="E114" s="136">
        <f t="shared" si="10"/>
        <v>1500000</v>
      </c>
      <c r="F114" s="136">
        <f t="shared" si="10"/>
        <v>2000000</v>
      </c>
      <c r="G114" s="136">
        <f t="shared" si="10"/>
        <v>2500000</v>
      </c>
      <c r="H114" s="417">
        <f t="shared" si="10"/>
        <v>3000000</v>
      </c>
      <c r="I114" s="691">
        <f t="shared" si="10"/>
        <v>360</v>
      </c>
      <c r="J114" s="684">
        <f t="shared" si="10"/>
        <v>0</v>
      </c>
      <c r="K114" s="684">
        <f t="shared" si="10"/>
        <v>0.8</v>
      </c>
      <c r="L114" s="699">
        <v>0.9</v>
      </c>
      <c r="M114" s="430" t="s">
        <v>330</v>
      </c>
    </row>
    <row r="115" spans="1:13" ht="12.75" customHeight="1" x14ac:dyDescent="0.2">
      <c r="A115" s="18" t="s">
        <v>169</v>
      </c>
      <c r="B115" s="18" t="s">
        <v>170</v>
      </c>
      <c r="C115" s="136">
        <f t="shared" si="6"/>
        <v>750000</v>
      </c>
      <c r="D115" s="136">
        <f t="shared" ref="D115:D126" si="11">VLOOKUP($B115,ProductDLA,D$27,FALSE)</f>
        <v>1000000</v>
      </c>
      <c r="E115" s="136">
        <f t="shared" ref="E115:K126" si="12">VLOOKUP($B115,ProductDLA,E$27,FALSE)</f>
        <v>1500000</v>
      </c>
      <c r="F115" s="136">
        <f t="shared" si="12"/>
        <v>2000000</v>
      </c>
      <c r="G115" s="136">
        <f t="shared" si="12"/>
        <v>2500000</v>
      </c>
      <c r="H115" s="417">
        <f t="shared" si="12"/>
        <v>3000000</v>
      </c>
      <c r="I115" s="691">
        <f t="shared" si="12"/>
        <v>360</v>
      </c>
      <c r="J115" s="684">
        <f t="shared" si="12"/>
        <v>0</v>
      </c>
      <c r="K115" s="684">
        <f t="shared" si="12"/>
        <v>0.8</v>
      </c>
      <c r="L115" s="699">
        <v>0.9</v>
      </c>
      <c r="M115" s="430" t="s">
        <v>330</v>
      </c>
    </row>
    <row r="116" spans="1:13" ht="12.75" customHeight="1" x14ac:dyDescent="0.2">
      <c r="A116" s="18" t="s">
        <v>171</v>
      </c>
      <c r="B116" s="18" t="s">
        <v>172</v>
      </c>
      <c r="C116" s="136">
        <f t="shared" si="6"/>
        <v>750000</v>
      </c>
      <c r="D116" s="136">
        <f t="shared" si="11"/>
        <v>1000000</v>
      </c>
      <c r="E116" s="136">
        <f t="shared" si="12"/>
        <v>1500000</v>
      </c>
      <c r="F116" s="136">
        <f t="shared" si="12"/>
        <v>2000000</v>
      </c>
      <c r="G116" s="136">
        <f t="shared" si="12"/>
        <v>2500000</v>
      </c>
      <c r="H116" s="417">
        <f t="shared" si="12"/>
        <v>3000000</v>
      </c>
      <c r="I116" s="691">
        <f t="shared" si="12"/>
        <v>360</v>
      </c>
      <c r="J116" s="684">
        <f t="shared" si="12"/>
        <v>0</v>
      </c>
      <c r="K116" s="684">
        <f t="shared" si="12"/>
        <v>0.8</v>
      </c>
      <c r="L116" s="699">
        <v>0.9</v>
      </c>
      <c r="M116" s="430" t="s">
        <v>330</v>
      </c>
    </row>
    <row r="117" spans="1:13" ht="12.75" customHeight="1" x14ac:dyDescent="0.2">
      <c r="A117" s="25" t="s">
        <v>173</v>
      </c>
      <c r="B117" s="25" t="s">
        <v>174</v>
      </c>
      <c r="C117" s="136">
        <f t="shared" si="6"/>
        <v>750000</v>
      </c>
      <c r="D117" s="136">
        <f t="shared" si="11"/>
        <v>1000000</v>
      </c>
      <c r="E117" s="136">
        <f t="shared" si="12"/>
        <v>1500000</v>
      </c>
      <c r="F117" s="136">
        <f t="shared" si="12"/>
        <v>2000000</v>
      </c>
      <c r="G117" s="136">
        <f t="shared" si="12"/>
        <v>2500000</v>
      </c>
      <c r="H117" s="417">
        <f t="shared" si="12"/>
        <v>3000000</v>
      </c>
      <c r="I117" s="691">
        <f t="shared" si="12"/>
        <v>360</v>
      </c>
      <c r="J117" s="684">
        <f t="shared" si="12"/>
        <v>0</v>
      </c>
      <c r="K117" s="684">
        <f t="shared" si="12"/>
        <v>0.8</v>
      </c>
      <c r="L117" s="699">
        <v>0.9</v>
      </c>
      <c r="M117" s="430" t="s">
        <v>330</v>
      </c>
    </row>
    <row r="118" spans="1:13" ht="12.75" customHeight="1" x14ac:dyDescent="0.2">
      <c r="A118" s="25" t="s">
        <v>175</v>
      </c>
      <c r="B118" s="25" t="s">
        <v>176</v>
      </c>
      <c r="C118" s="136">
        <f t="shared" si="6"/>
        <v>750000</v>
      </c>
      <c r="D118" s="136">
        <f t="shared" si="11"/>
        <v>1000000</v>
      </c>
      <c r="E118" s="136">
        <f t="shared" si="12"/>
        <v>1500000</v>
      </c>
      <c r="F118" s="136">
        <f t="shared" si="12"/>
        <v>2000000</v>
      </c>
      <c r="G118" s="136">
        <f t="shared" si="12"/>
        <v>2500000</v>
      </c>
      <c r="H118" s="417">
        <f t="shared" si="12"/>
        <v>3000000</v>
      </c>
      <c r="I118" s="691">
        <f t="shared" si="12"/>
        <v>360</v>
      </c>
      <c r="J118" s="684">
        <f t="shared" si="12"/>
        <v>0</v>
      </c>
      <c r="K118" s="684">
        <f t="shared" si="12"/>
        <v>0.8</v>
      </c>
      <c r="L118" s="699">
        <v>0.9</v>
      </c>
      <c r="M118" s="430" t="s">
        <v>330</v>
      </c>
    </row>
    <row r="119" spans="1:13" ht="12.75" customHeight="1" x14ac:dyDescent="0.2">
      <c r="A119" s="25" t="s">
        <v>177</v>
      </c>
      <c r="B119" s="25" t="s">
        <v>178</v>
      </c>
      <c r="C119" s="136">
        <f t="shared" si="6"/>
        <v>750000</v>
      </c>
      <c r="D119" s="136">
        <f t="shared" si="11"/>
        <v>1000000</v>
      </c>
      <c r="E119" s="136">
        <f t="shared" si="12"/>
        <v>1500000</v>
      </c>
      <c r="F119" s="136">
        <f t="shared" si="12"/>
        <v>2000000</v>
      </c>
      <c r="G119" s="136">
        <f t="shared" si="12"/>
        <v>2500000</v>
      </c>
      <c r="H119" s="417">
        <f t="shared" si="12"/>
        <v>3000000</v>
      </c>
      <c r="I119" s="691">
        <f t="shared" si="12"/>
        <v>360</v>
      </c>
      <c r="J119" s="684">
        <f t="shared" si="12"/>
        <v>0</v>
      </c>
      <c r="K119" s="684">
        <f t="shared" si="12"/>
        <v>0.8</v>
      </c>
      <c r="L119" s="699">
        <v>0.9</v>
      </c>
      <c r="M119" s="430" t="s">
        <v>330</v>
      </c>
    </row>
    <row r="120" spans="1:13" ht="12.75" customHeight="1" x14ac:dyDescent="0.2">
      <c r="A120" s="25" t="s">
        <v>179</v>
      </c>
      <c r="B120" s="25" t="s">
        <v>180</v>
      </c>
      <c r="C120" s="136">
        <f t="shared" si="6"/>
        <v>750000</v>
      </c>
      <c r="D120" s="136">
        <f t="shared" si="11"/>
        <v>1000000</v>
      </c>
      <c r="E120" s="136">
        <f t="shared" si="12"/>
        <v>1500000</v>
      </c>
      <c r="F120" s="136">
        <f t="shared" si="12"/>
        <v>2000000</v>
      </c>
      <c r="G120" s="136">
        <f t="shared" si="12"/>
        <v>2500000</v>
      </c>
      <c r="H120" s="417">
        <f t="shared" si="12"/>
        <v>3000000</v>
      </c>
      <c r="I120" s="691">
        <f t="shared" si="12"/>
        <v>360</v>
      </c>
      <c r="J120" s="684">
        <f t="shared" si="12"/>
        <v>0</v>
      </c>
      <c r="K120" s="684">
        <f t="shared" si="12"/>
        <v>0.8</v>
      </c>
      <c r="L120" s="699">
        <v>0.9</v>
      </c>
      <c r="M120" s="430" t="s">
        <v>330</v>
      </c>
    </row>
    <row r="121" spans="1:13" ht="12.75" customHeight="1" x14ac:dyDescent="0.2">
      <c r="A121" s="25" t="s">
        <v>181</v>
      </c>
      <c r="B121" s="25" t="s">
        <v>182</v>
      </c>
      <c r="C121" s="136">
        <f t="shared" si="6"/>
        <v>750000</v>
      </c>
      <c r="D121" s="136">
        <f t="shared" si="11"/>
        <v>1000000</v>
      </c>
      <c r="E121" s="136">
        <f t="shared" si="12"/>
        <v>1500000</v>
      </c>
      <c r="F121" s="136">
        <f t="shared" si="12"/>
        <v>2000000</v>
      </c>
      <c r="G121" s="136">
        <f t="shared" si="12"/>
        <v>2500000</v>
      </c>
      <c r="H121" s="417">
        <f t="shared" si="12"/>
        <v>3000000</v>
      </c>
      <c r="I121" s="691">
        <f t="shared" si="12"/>
        <v>360</v>
      </c>
      <c r="J121" s="684">
        <f t="shared" si="12"/>
        <v>0</v>
      </c>
      <c r="K121" s="684">
        <f t="shared" si="12"/>
        <v>0.8</v>
      </c>
      <c r="L121" s="699">
        <v>0.9</v>
      </c>
      <c r="M121" s="430" t="s">
        <v>330</v>
      </c>
    </row>
    <row r="122" spans="1:13" ht="12.75" customHeight="1" x14ac:dyDescent="0.2">
      <c r="A122" s="25" t="s">
        <v>183</v>
      </c>
      <c r="B122" s="25" t="s">
        <v>184</v>
      </c>
      <c r="C122" s="136">
        <f t="shared" si="6"/>
        <v>750000</v>
      </c>
      <c r="D122" s="136">
        <f t="shared" si="11"/>
        <v>1000000</v>
      </c>
      <c r="E122" s="136">
        <f t="shared" si="12"/>
        <v>1500000</v>
      </c>
      <c r="F122" s="136">
        <f t="shared" si="12"/>
        <v>2000000</v>
      </c>
      <c r="G122" s="136">
        <f t="shared" si="12"/>
        <v>2500000</v>
      </c>
      <c r="H122" s="417">
        <f t="shared" si="12"/>
        <v>3000000</v>
      </c>
      <c r="I122" s="691">
        <f t="shared" si="12"/>
        <v>360</v>
      </c>
      <c r="J122" s="684">
        <f t="shared" si="12"/>
        <v>0</v>
      </c>
      <c r="K122" s="684">
        <f t="shared" si="12"/>
        <v>0.8</v>
      </c>
      <c r="L122" s="699">
        <v>0.9</v>
      </c>
      <c r="M122" s="430" t="s">
        <v>330</v>
      </c>
    </row>
    <row r="123" spans="1:13" ht="12.75" customHeight="1" x14ac:dyDescent="0.2">
      <c r="A123" s="25" t="s">
        <v>185</v>
      </c>
      <c r="B123" s="25" t="s">
        <v>186</v>
      </c>
      <c r="C123" s="136">
        <f t="shared" si="6"/>
        <v>750000</v>
      </c>
      <c r="D123" s="136">
        <f t="shared" si="11"/>
        <v>1000000</v>
      </c>
      <c r="E123" s="136">
        <f t="shared" si="12"/>
        <v>1500000</v>
      </c>
      <c r="F123" s="136">
        <f t="shared" si="12"/>
        <v>2000000</v>
      </c>
      <c r="G123" s="136">
        <f t="shared" si="12"/>
        <v>2500000</v>
      </c>
      <c r="H123" s="417">
        <f t="shared" si="12"/>
        <v>3000000</v>
      </c>
      <c r="I123" s="691">
        <f t="shared" si="12"/>
        <v>360</v>
      </c>
      <c r="J123" s="684">
        <f t="shared" si="12"/>
        <v>0</v>
      </c>
      <c r="K123" s="684">
        <f t="shared" si="12"/>
        <v>0.8</v>
      </c>
      <c r="L123" s="699">
        <v>0.9</v>
      </c>
      <c r="M123" s="430" t="s">
        <v>330</v>
      </c>
    </row>
    <row r="124" spans="1:13" ht="12.75" customHeight="1" x14ac:dyDescent="0.2">
      <c r="A124" s="25" t="s">
        <v>187</v>
      </c>
      <c r="B124" s="25" t="s">
        <v>188</v>
      </c>
      <c r="C124" s="136">
        <f t="shared" si="6"/>
        <v>750000</v>
      </c>
      <c r="D124" s="136">
        <f t="shared" si="11"/>
        <v>1000000</v>
      </c>
      <c r="E124" s="136">
        <f t="shared" si="12"/>
        <v>1500000</v>
      </c>
      <c r="F124" s="136">
        <f t="shared" si="12"/>
        <v>2000000</v>
      </c>
      <c r="G124" s="136">
        <f t="shared" si="12"/>
        <v>2500000</v>
      </c>
      <c r="H124" s="417">
        <f t="shared" si="12"/>
        <v>3000000</v>
      </c>
      <c r="I124" s="691">
        <f t="shared" si="12"/>
        <v>360</v>
      </c>
      <c r="J124" s="684">
        <f t="shared" si="12"/>
        <v>0</v>
      </c>
      <c r="K124" s="684">
        <f t="shared" si="12"/>
        <v>0.8</v>
      </c>
      <c r="L124" s="699">
        <v>0.9</v>
      </c>
      <c r="M124" s="430" t="s">
        <v>330</v>
      </c>
    </row>
    <row r="125" spans="1:13" ht="12.75" customHeight="1" x14ac:dyDescent="0.2">
      <c r="A125" s="25" t="s">
        <v>189</v>
      </c>
      <c r="B125" s="25" t="s">
        <v>190</v>
      </c>
      <c r="C125" s="136">
        <f t="shared" si="6"/>
        <v>750000</v>
      </c>
      <c r="D125" s="136">
        <f t="shared" si="11"/>
        <v>1000000</v>
      </c>
      <c r="E125" s="136">
        <f t="shared" si="12"/>
        <v>1500000</v>
      </c>
      <c r="F125" s="136">
        <f t="shared" si="12"/>
        <v>2000000</v>
      </c>
      <c r="G125" s="136">
        <f t="shared" si="12"/>
        <v>2500000</v>
      </c>
      <c r="H125" s="417">
        <f t="shared" si="12"/>
        <v>3000000</v>
      </c>
      <c r="I125" s="691">
        <f t="shared" si="12"/>
        <v>360</v>
      </c>
      <c r="J125" s="684">
        <f t="shared" si="12"/>
        <v>0</v>
      </c>
      <c r="K125" s="684">
        <f t="shared" si="12"/>
        <v>0.8</v>
      </c>
      <c r="L125" s="699">
        <v>0.9</v>
      </c>
      <c r="M125" s="430" t="s">
        <v>330</v>
      </c>
    </row>
    <row r="126" spans="1:13" ht="12.75" customHeight="1" x14ac:dyDescent="0.2">
      <c r="A126" s="25" t="s">
        <v>191</v>
      </c>
      <c r="B126" s="25" t="s">
        <v>192</v>
      </c>
      <c r="C126" s="136">
        <f t="shared" si="6"/>
        <v>750000</v>
      </c>
      <c r="D126" s="136">
        <f t="shared" si="11"/>
        <v>1000000</v>
      </c>
      <c r="E126" s="136">
        <f t="shared" si="12"/>
        <v>1500000</v>
      </c>
      <c r="F126" s="136">
        <f t="shared" si="12"/>
        <v>2000000</v>
      </c>
      <c r="G126" s="136">
        <f t="shared" si="12"/>
        <v>2500000</v>
      </c>
      <c r="H126" s="417">
        <f t="shared" si="12"/>
        <v>3000000</v>
      </c>
      <c r="I126" s="691">
        <f t="shared" si="12"/>
        <v>360</v>
      </c>
      <c r="J126" s="684">
        <f t="shared" si="12"/>
        <v>0</v>
      </c>
      <c r="K126" s="684" t="str">
        <f t="shared" si="12"/>
        <v>80%</v>
      </c>
      <c r="L126" s="699">
        <v>0.9</v>
      </c>
      <c r="M126" s="430" t="s">
        <v>330</v>
      </c>
    </row>
    <row r="127" spans="1:13" ht="12.75" customHeight="1" x14ac:dyDescent="0.2">
      <c r="A127" s="25" t="s">
        <v>193</v>
      </c>
      <c r="B127" s="25"/>
      <c r="C127" s="136">
        <f>+Tables!C139</f>
        <v>750000</v>
      </c>
      <c r="D127" s="136">
        <f>+Tables!D139</f>
        <v>1000000</v>
      </c>
      <c r="E127" s="136">
        <f>+Tables!E139</f>
        <v>1500000</v>
      </c>
      <c r="F127" s="136">
        <f>+Tables!F139</f>
        <v>2000000</v>
      </c>
      <c r="G127" s="136">
        <v>2500000</v>
      </c>
      <c r="H127" s="679">
        <v>3000000</v>
      </c>
      <c r="J127" s="692"/>
    </row>
    <row r="128" spans="1:13" ht="12.75" customHeight="1" x14ac:dyDescent="0.2">
      <c r="A128" s="25" t="s">
        <v>194</v>
      </c>
      <c r="B128" s="25"/>
      <c r="C128" s="334" t="e">
        <f>+Tables!C143</f>
        <v>#N/A</v>
      </c>
      <c r="D128" s="334" t="e">
        <f>+Tables!D143</f>
        <v>#N/A</v>
      </c>
      <c r="E128" s="334" t="e">
        <f>+Tables!E143</f>
        <v>#N/A</v>
      </c>
      <c r="F128" s="334" t="e">
        <f>+Tables!F143</f>
        <v>#N/A</v>
      </c>
      <c r="G128" s="334" t="e">
        <f>+Tables!G143</f>
        <v>#N/A</v>
      </c>
      <c r="J128" s="692"/>
    </row>
    <row r="129" spans="1:16" ht="12.75" customHeight="1" x14ac:dyDescent="0.2">
      <c r="I129" s="692"/>
    </row>
    <row r="130" spans="1:16" ht="12.75" customHeight="1" x14ac:dyDescent="0.2">
      <c r="A130" s="37" t="s">
        <v>195</v>
      </c>
      <c r="C130" s="401" t="s">
        <v>196</v>
      </c>
      <c r="D130" s="110" t="s">
        <v>42</v>
      </c>
      <c r="E130" s="438" t="str">
        <f>+Tables!E150</f>
        <v>IO Premium</v>
      </c>
      <c r="F130" s="659" t="s">
        <v>197</v>
      </c>
      <c r="G130" s="659" t="s">
        <v>1429</v>
      </c>
      <c r="H130" s="108" t="s">
        <v>1430</v>
      </c>
      <c r="I130" s="692"/>
    </row>
    <row r="131" spans="1:16" ht="12.75" customHeight="1" x14ac:dyDescent="0.2">
      <c r="A131" s="37" t="s">
        <v>58</v>
      </c>
      <c r="C131" s="402">
        <f>+Tables!C151</f>
        <v>0.03</v>
      </c>
      <c r="D131" s="402">
        <f>+Tables!D151</f>
        <v>0.03</v>
      </c>
      <c r="E131" s="402">
        <f>+Tables!E151</f>
        <v>2E-3</v>
      </c>
      <c r="F131" s="660">
        <v>4.0000000000000001E-3</v>
      </c>
      <c r="G131" s="660">
        <v>-4.4999999999999997E-3</v>
      </c>
      <c r="H131" s="36">
        <v>1.5E-3</v>
      </c>
      <c r="I131" s="692"/>
    </row>
    <row r="132" spans="1:16" ht="12.75" customHeight="1" x14ac:dyDescent="0.2">
      <c r="A132" s="37" t="s">
        <v>198</v>
      </c>
      <c r="C132" s="440">
        <f>+Tables!C152</f>
        <v>5.5E-2</v>
      </c>
      <c r="D132" s="440">
        <f>+Tables!D152</f>
        <v>7.4999999999999997E-2</v>
      </c>
      <c r="I132" s="692"/>
    </row>
    <row r="133" spans="1:16" ht="12.75" customHeight="1" x14ac:dyDescent="0.2">
      <c r="A133" s="37" t="s">
        <v>199</v>
      </c>
      <c r="C133" s="440">
        <f>+Tables!C153</f>
        <v>0.03</v>
      </c>
      <c r="D133" s="440">
        <f>+Tables!D153</f>
        <v>0.04</v>
      </c>
      <c r="I133" s="692"/>
    </row>
    <row r="134" spans="1:16" ht="12.75" customHeight="1" x14ac:dyDescent="0.2">
      <c r="I134" s="692"/>
    </row>
    <row r="135" spans="1:16" ht="12.75" customHeight="1" x14ac:dyDescent="0.2">
      <c r="C135" s="35">
        <v>2</v>
      </c>
      <c r="D135" s="35">
        <v>3</v>
      </c>
      <c r="E135" s="35">
        <v>4</v>
      </c>
      <c r="F135" s="35">
        <v>5</v>
      </c>
      <c r="G135" s="35">
        <v>6</v>
      </c>
      <c r="H135" s="35">
        <v>7</v>
      </c>
      <c r="I135" s="692" t="s">
        <v>200</v>
      </c>
    </row>
    <row r="136" spans="1:16" ht="12.75" customHeight="1" x14ac:dyDescent="0.2">
      <c r="A136" s="20" t="s">
        <v>201</v>
      </c>
      <c r="B136" s="20"/>
      <c r="C136" s="26" t="s">
        <v>202</v>
      </c>
      <c r="D136" s="107" t="s">
        <v>61</v>
      </c>
      <c r="E136" s="107" t="s">
        <v>42</v>
      </c>
      <c r="M136" s="434"/>
      <c r="N136" s="439"/>
      <c r="P136" s="36"/>
    </row>
    <row r="137" spans="1:16" ht="12.75" customHeight="1" x14ac:dyDescent="0.2">
      <c r="A137" s="41" t="s">
        <v>1459</v>
      </c>
      <c r="B137" s="25" t="s">
        <v>1460</v>
      </c>
      <c r="C137" s="434">
        <f t="shared" ref="C137:E156" si="13">+VLOOKUP($B137,Product_IR,C$135,FALSE)</f>
        <v>5.9900000000000002E-2</v>
      </c>
      <c r="D137" s="107">
        <f t="shared" si="13"/>
        <v>8.9900000000000008E-2</v>
      </c>
      <c r="E137" s="107">
        <f t="shared" si="13"/>
        <v>8.9900000000000008E-2</v>
      </c>
      <c r="I137" s="35"/>
      <c r="M137" s="434"/>
      <c r="N137" s="439"/>
      <c r="P137" s="36"/>
    </row>
    <row r="138" spans="1:16" ht="12.75" customHeight="1" x14ac:dyDescent="0.2">
      <c r="A138" s="41" t="s">
        <v>1461</v>
      </c>
      <c r="B138" s="25" t="s">
        <v>1462</v>
      </c>
      <c r="C138" s="434">
        <f t="shared" si="13"/>
        <v>6.1899999999999997E-2</v>
      </c>
      <c r="D138" s="107">
        <f t="shared" si="13"/>
        <v>9.1899999999999996E-2</v>
      </c>
      <c r="E138" s="107">
        <f t="shared" si="13"/>
        <v>9.1899999999999996E-2</v>
      </c>
      <c r="M138" s="434"/>
      <c r="N138" s="439"/>
      <c r="P138" s="36"/>
    </row>
    <row r="139" spans="1:16" ht="12.75" customHeight="1" x14ac:dyDescent="0.2">
      <c r="A139" s="41" t="s">
        <v>1463</v>
      </c>
      <c r="B139" s="25" t="s">
        <v>1464</v>
      </c>
      <c r="C139" s="434">
        <f t="shared" si="13"/>
        <v>6.2899999999999998E-2</v>
      </c>
      <c r="D139" s="107">
        <f t="shared" si="13"/>
        <v>9.2899999999999996E-2</v>
      </c>
      <c r="E139" s="107">
        <f t="shared" si="13"/>
        <v>9.2899999999999996E-2</v>
      </c>
      <c r="M139" s="434"/>
      <c r="N139" s="439"/>
      <c r="P139" s="36"/>
    </row>
    <row r="140" spans="1:16" ht="12.75" customHeight="1" x14ac:dyDescent="0.2">
      <c r="A140" s="41" t="s">
        <v>1465</v>
      </c>
      <c r="B140" s="25" t="s">
        <v>1466</v>
      </c>
      <c r="C140" s="434">
        <f t="shared" si="13"/>
        <v>5.9900000000000002E-2</v>
      </c>
      <c r="D140" s="107">
        <f t="shared" si="13"/>
        <v>8.9900000000000008E-2</v>
      </c>
      <c r="E140" s="107">
        <f t="shared" si="13"/>
        <v>8.9900000000000008E-2</v>
      </c>
      <c r="M140" s="434"/>
      <c r="N140" s="439"/>
      <c r="P140" s="36"/>
    </row>
    <row r="141" spans="1:16" ht="12.75" customHeight="1" x14ac:dyDescent="0.2">
      <c r="A141" s="41" t="s">
        <v>1467</v>
      </c>
      <c r="B141" s="25" t="s">
        <v>1468</v>
      </c>
      <c r="C141" s="434">
        <f t="shared" si="13"/>
        <v>6.1899999999999997E-2</v>
      </c>
      <c r="D141" s="107">
        <f t="shared" si="13"/>
        <v>9.1899999999999996E-2</v>
      </c>
      <c r="E141" s="107">
        <f t="shared" si="13"/>
        <v>9.1899999999999996E-2</v>
      </c>
      <c r="M141" s="434"/>
      <c r="N141" s="439"/>
      <c r="P141" s="36"/>
    </row>
    <row r="142" spans="1:16" ht="12.75" customHeight="1" x14ac:dyDescent="0.2">
      <c r="A142" s="41" t="s">
        <v>1469</v>
      </c>
      <c r="B142" s="25" t="s">
        <v>1470</v>
      </c>
      <c r="C142" s="434">
        <f t="shared" si="13"/>
        <v>6.2899999999999998E-2</v>
      </c>
      <c r="D142" s="107">
        <f t="shared" si="13"/>
        <v>9.2899999999999996E-2</v>
      </c>
      <c r="E142" s="107">
        <f t="shared" si="13"/>
        <v>9.2899999999999996E-2</v>
      </c>
      <c r="M142" s="434"/>
      <c r="N142" s="439"/>
      <c r="P142" s="36"/>
    </row>
    <row r="143" spans="1:16" ht="12.75" customHeight="1" x14ac:dyDescent="0.2">
      <c r="A143" s="41" t="s">
        <v>1471</v>
      </c>
      <c r="B143" s="25" t="s">
        <v>1472</v>
      </c>
      <c r="C143" s="434">
        <f t="shared" si="13"/>
        <v>6.2899999999999998E-2</v>
      </c>
      <c r="D143" s="107">
        <f t="shared" si="13"/>
        <v>8.9900000000000008E-2</v>
      </c>
      <c r="E143" s="107">
        <f t="shared" si="13"/>
        <v>8.9900000000000008E-2</v>
      </c>
      <c r="M143" s="434"/>
      <c r="N143" s="439"/>
      <c r="P143" s="36"/>
    </row>
    <row r="144" spans="1:16" ht="12.75" customHeight="1" x14ac:dyDescent="0.2">
      <c r="A144" s="41" t="s">
        <v>1473</v>
      </c>
      <c r="B144" s="25" t="s">
        <v>1474</v>
      </c>
      <c r="C144" s="434">
        <f t="shared" si="13"/>
        <v>6.2899999999999998E-2</v>
      </c>
      <c r="D144" s="107">
        <f t="shared" si="13"/>
        <v>8.9900000000000008E-2</v>
      </c>
      <c r="E144" s="107">
        <f t="shared" si="13"/>
        <v>8.9900000000000008E-2</v>
      </c>
      <c r="M144" s="434"/>
      <c r="N144" s="439"/>
      <c r="P144" s="36"/>
    </row>
    <row r="145" spans="1:16" ht="12.75" customHeight="1" x14ac:dyDescent="0.2">
      <c r="A145" s="41" t="s">
        <v>1475</v>
      </c>
      <c r="B145" s="25" t="s">
        <v>1476</v>
      </c>
      <c r="C145" s="434">
        <f t="shared" si="13"/>
        <v>6.2899999999999998E-2</v>
      </c>
      <c r="D145" s="107">
        <f t="shared" si="13"/>
        <v>8.9900000000000008E-2</v>
      </c>
      <c r="E145" s="107">
        <f t="shared" si="13"/>
        <v>8.9900000000000008E-2</v>
      </c>
      <c r="M145" s="434"/>
      <c r="N145" s="439"/>
      <c r="P145" s="36"/>
    </row>
    <row r="146" spans="1:16" ht="12.75" customHeight="1" x14ac:dyDescent="0.2">
      <c r="A146" s="41" t="s">
        <v>1477</v>
      </c>
      <c r="B146" s="25" t="s">
        <v>1478</v>
      </c>
      <c r="C146" s="434">
        <f t="shared" si="13"/>
        <v>6.2399999999999997E-2</v>
      </c>
      <c r="D146" s="107">
        <f t="shared" si="13"/>
        <v>8.9900000000000008E-2</v>
      </c>
      <c r="E146" s="107">
        <f t="shared" si="13"/>
        <v>8.9900000000000008E-2</v>
      </c>
      <c r="M146" s="434"/>
      <c r="N146" s="439"/>
      <c r="P146" s="36"/>
    </row>
    <row r="147" spans="1:16" ht="12.75" customHeight="1" x14ac:dyDescent="0.2">
      <c r="A147" s="41" t="s">
        <v>1479</v>
      </c>
      <c r="B147" s="25" t="s">
        <v>1480</v>
      </c>
      <c r="C147" s="434">
        <f t="shared" si="13"/>
        <v>6.4399999999999999E-2</v>
      </c>
      <c r="D147" s="107">
        <f t="shared" si="13"/>
        <v>8.9900000000000008E-2</v>
      </c>
      <c r="E147" s="107">
        <f t="shared" si="13"/>
        <v>8.9900000000000008E-2</v>
      </c>
      <c r="M147" s="434"/>
      <c r="N147" s="439"/>
      <c r="P147" s="36"/>
    </row>
    <row r="148" spans="1:16" ht="12.75" customHeight="1" x14ac:dyDescent="0.2">
      <c r="A148" s="41" t="s">
        <v>1481</v>
      </c>
      <c r="B148" s="25" t="s">
        <v>1482</v>
      </c>
      <c r="C148" s="434">
        <f t="shared" si="13"/>
        <v>5.9900000000000002E-2</v>
      </c>
      <c r="D148" s="107">
        <f t="shared" si="13"/>
        <v>8.9900000000000008E-2</v>
      </c>
      <c r="E148" s="107">
        <f t="shared" si="13"/>
        <v>8.9900000000000008E-2</v>
      </c>
      <c r="M148" s="434"/>
      <c r="N148" s="439"/>
      <c r="P148" s="36"/>
    </row>
    <row r="149" spans="1:16" ht="12.75" customHeight="1" x14ac:dyDescent="0.2">
      <c r="A149" s="41" t="s">
        <v>1483</v>
      </c>
      <c r="B149" s="25" t="s">
        <v>1484</v>
      </c>
      <c r="C149" s="434">
        <f t="shared" si="13"/>
        <v>6.1400000000000003E-2</v>
      </c>
      <c r="D149" s="107">
        <f t="shared" si="13"/>
        <v>9.1400000000000009E-2</v>
      </c>
      <c r="E149" s="107">
        <f t="shared" si="13"/>
        <v>9.1400000000000009E-2</v>
      </c>
      <c r="M149" s="434"/>
      <c r="N149" s="439"/>
      <c r="P149" s="36"/>
    </row>
    <row r="150" spans="1:16" ht="12.75" customHeight="1" x14ac:dyDescent="0.2">
      <c r="A150" s="41" t="s">
        <v>1485</v>
      </c>
      <c r="B150" s="25" t="s">
        <v>1486</v>
      </c>
      <c r="C150" s="434">
        <f t="shared" si="13"/>
        <v>6.2899999999999998E-2</v>
      </c>
      <c r="D150" s="107">
        <f t="shared" si="13"/>
        <v>9.2899999999999996E-2</v>
      </c>
      <c r="E150" s="107">
        <f t="shared" si="13"/>
        <v>9.2899999999999996E-2</v>
      </c>
      <c r="M150" s="434"/>
      <c r="N150" s="439"/>
      <c r="P150" s="36"/>
    </row>
    <row r="151" spans="1:16" ht="12.75" customHeight="1" x14ac:dyDescent="0.2">
      <c r="A151" s="41" t="s">
        <v>1487</v>
      </c>
      <c r="B151" s="25" t="s">
        <v>1488</v>
      </c>
      <c r="C151" s="434">
        <f t="shared" si="13"/>
        <v>6.3399999999999998E-2</v>
      </c>
      <c r="D151" s="107">
        <f t="shared" si="13"/>
        <v>9.1399999999999995E-2</v>
      </c>
      <c r="E151" s="107">
        <f t="shared" si="13"/>
        <v>9.1399999999999995E-2</v>
      </c>
      <c r="M151" s="434"/>
      <c r="N151" s="439"/>
      <c r="P151" s="36"/>
    </row>
    <row r="152" spans="1:16" ht="12.75" customHeight="1" x14ac:dyDescent="0.2">
      <c r="A152" s="41" t="s">
        <v>1489</v>
      </c>
      <c r="B152" s="25" t="s">
        <v>1490</v>
      </c>
      <c r="C152" s="434">
        <f t="shared" si="13"/>
        <v>6.4899999999999999E-2</v>
      </c>
      <c r="D152" s="107">
        <f t="shared" si="13"/>
        <v>9.2899999999999996E-2</v>
      </c>
      <c r="E152" s="107">
        <f t="shared" si="13"/>
        <v>9.2899999999999996E-2</v>
      </c>
      <c r="M152" s="434"/>
      <c r="N152" s="439"/>
      <c r="P152" s="36"/>
    </row>
    <row r="153" spans="1:16" ht="12.75" customHeight="1" x14ac:dyDescent="0.2">
      <c r="A153" s="41" t="s">
        <v>1491</v>
      </c>
      <c r="B153" s="25" t="s">
        <v>1492</v>
      </c>
      <c r="C153" s="434">
        <f t="shared" si="13"/>
        <v>6.4399999999999999E-2</v>
      </c>
      <c r="D153" s="107">
        <f t="shared" si="13"/>
        <v>9.1400000000000009E-2</v>
      </c>
      <c r="E153" s="107">
        <f t="shared" si="13"/>
        <v>9.1400000000000009E-2</v>
      </c>
      <c r="M153" s="434"/>
      <c r="N153" s="439"/>
      <c r="P153" s="36"/>
    </row>
    <row r="154" spans="1:16" ht="12.75" customHeight="1" x14ac:dyDescent="0.2">
      <c r="A154" s="41" t="s">
        <v>1493</v>
      </c>
      <c r="B154" s="25" t="s">
        <v>1494</v>
      </c>
      <c r="C154" s="434">
        <f t="shared" si="13"/>
        <v>6.4399999999999999E-2</v>
      </c>
      <c r="D154" s="107">
        <f t="shared" si="13"/>
        <v>9.1400000000000009E-2</v>
      </c>
      <c r="E154" s="107">
        <f t="shared" si="13"/>
        <v>9.1400000000000009E-2</v>
      </c>
      <c r="M154" s="434"/>
      <c r="N154" s="439"/>
      <c r="P154" s="36"/>
    </row>
    <row r="155" spans="1:16" ht="12.75" customHeight="1" x14ac:dyDescent="0.2">
      <c r="A155" s="41" t="s">
        <v>1495</v>
      </c>
      <c r="B155" s="25" t="s">
        <v>1496</v>
      </c>
      <c r="C155" s="434">
        <f t="shared" si="13"/>
        <v>6.3899999999999998E-2</v>
      </c>
      <c r="D155" s="107">
        <f t="shared" si="13"/>
        <v>9.1400000000000009E-2</v>
      </c>
      <c r="E155" s="107">
        <f t="shared" si="13"/>
        <v>9.1400000000000009E-2</v>
      </c>
      <c r="M155" s="434"/>
      <c r="N155" s="439"/>
      <c r="P155" s="36"/>
    </row>
    <row r="156" spans="1:16" ht="12.75" customHeight="1" x14ac:dyDescent="0.2">
      <c r="A156" s="41" t="s">
        <v>1497</v>
      </c>
      <c r="B156" s="25" t="s">
        <v>1498</v>
      </c>
      <c r="C156" s="434">
        <f t="shared" si="13"/>
        <v>6.59E-2</v>
      </c>
      <c r="D156" s="107">
        <f t="shared" si="13"/>
        <v>9.1400000000000009E-2</v>
      </c>
      <c r="E156" s="107">
        <f t="shared" si="13"/>
        <v>9.1400000000000009E-2</v>
      </c>
      <c r="M156" s="434"/>
      <c r="N156" s="439"/>
      <c r="P156" s="36"/>
    </row>
    <row r="157" spans="1:16" ht="12.75" customHeight="1" x14ac:dyDescent="0.2">
      <c r="A157" s="41" t="s">
        <v>1499</v>
      </c>
      <c r="B157" s="25" t="s">
        <v>1500</v>
      </c>
      <c r="C157" s="434">
        <f t="shared" ref="C157:E176" si="14">+VLOOKUP($B157,Product_IR,C$135,FALSE)</f>
        <v>6.6400000000000001E-2</v>
      </c>
      <c r="D157" s="107">
        <f t="shared" si="14"/>
        <v>9.1400000000000009E-2</v>
      </c>
      <c r="E157" s="107">
        <f t="shared" si="14"/>
        <v>9.1400000000000009E-2</v>
      </c>
      <c r="M157" s="434"/>
      <c r="N157" s="439"/>
      <c r="P157" s="36"/>
    </row>
    <row r="158" spans="1:16" ht="12.75" customHeight="1" x14ac:dyDescent="0.2">
      <c r="A158" s="41" t="s">
        <v>1501</v>
      </c>
      <c r="B158" s="25" t="s">
        <v>1502</v>
      </c>
      <c r="C158" s="434">
        <f t="shared" si="14"/>
        <v>6.6400000000000001E-2</v>
      </c>
      <c r="D158" s="107">
        <f t="shared" si="14"/>
        <v>9.1400000000000009E-2</v>
      </c>
      <c r="E158" s="107">
        <f t="shared" si="14"/>
        <v>9.1400000000000009E-2</v>
      </c>
      <c r="M158" s="434"/>
      <c r="N158" s="439"/>
      <c r="P158" s="36"/>
    </row>
    <row r="159" spans="1:16" ht="12.75" customHeight="1" x14ac:dyDescent="0.2">
      <c r="A159" s="41" t="s">
        <v>1503</v>
      </c>
      <c r="B159" s="25" t="s">
        <v>1504</v>
      </c>
      <c r="C159" s="434">
        <f t="shared" si="14"/>
        <v>6.59E-2</v>
      </c>
      <c r="D159" s="107">
        <f t="shared" si="14"/>
        <v>9.1400000000000009E-2</v>
      </c>
      <c r="E159" s="107">
        <f t="shared" si="14"/>
        <v>9.1400000000000009E-2</v>
      </c>
      <c r="M159" s="434"/>
      <c r="N159" s="439"/>
      <c r="P159" s="36"/>
    </row>
    <row r="160" spans="1:16" ht="12.75" customHeight="1" x14ac:dyDescent="0.2">
      <c r="A160" s="41" t="s">
        <v>1505</v>
      </c>
      <c r="B160" s="25" t="s">
        <v>1506</v>
      </c>
      <c r="C160" s="434">
        <f t="shared" si="14"/>
        <v>6.7900000000000002E-2</v>
      </c>
      <c r="D160" s="107">
        <f t="shared" si="14"/>
        <v>9.1400000000000009E-2</v>
      </c>
      <c r="E160" s="107">
        <f t="shared" si="14"/>
        <v>9.1400000000000009E-2</v>
      </c>
      <c r="M160" s="434"/>
      <c r="N160" s="439"/>
      <c r="P160" s="36"/>
    </row>
    <row r="161" spans="1:16" ht="12.75" customHeight="1" x14ac:dyDescent="0.2">
      <c r="A161" s="41" t="s">
        <v>1507</v>
      </c>
      <c r="B161" s="25" t="s">
        <v>1508</v>
      </c>
      <c r="C161" s="434">
        <f t="shared" si="14"/>
        <v>6.1400000000000003E-2</v>
      </c>
      <c r="D161" s="107">
        <f t="shared" si="14"/>
        <v>9.1400000000000009E-2</v>
      </c>
      <c r="E161" s="107">
        <f t="shared" si="14"/>
        <v>9.1400000000000009E-2</v>
      </c>
      <c r="M161" s="434"/>
      <c r="N161" s="439"/>
      <c r="P161" s="36"/>
    </row>
    <row r="162" spans="1:16" ht="12.75" customHeight="1" x14ac:dyDescent="0.2">
      <c r="A162" s="41" t="s">
        <v>1509</v>
      </c>
      <c r="B162" s="25" t="s">
        <v>1510</v>
      </c>
      <c r="C162" s="434">
        <f t="shared" si="14"/>
        <v>6.0900000000000003E-2</v>
      </c>
      <c r="D162" s="107">
        <f t="shared" si="14"/>
        <v>9.0900000000000009E-2</v>
      </c>
      <c r="E162" s="107">
        <f t="shared" si="14"/>
        <v>9.0900000000000009E-2</v>
      </c>
      <c r="M162" s="434"/>
      <c r="N162" s="439"/>
      <c r="P162" s="36"/>
    </row>
    <row r="163" spans="1:16" ht="12.75" customHeight="1" x14ac:dyDescent="0.2">
      <c r="A163" s="41" t="s">
        <v>1511</v>
      </c>
      <c r="B163" s="25" t="s">
        <v>1512</v>
      </c>
      <c r="C163" s="434">
        <f t="shared" si="14"/>
        <v>6.2899999999999998E-2</v>
      </c>
      <c r="D163" s="107">
        <f t="shared" si="14"/>
        <v>9.2899999999999996E-2</v>
      </c>
      <c r="E163" s="107">
        <f t="shared" si="14"/>
        <v>9.2899999999999996E-2</v>
      </c>
      <c r="M163" s="434"/>
      <c r="N163" s="439"/>
      <c r="P163" s="36"/>
    </row>
    <row r="164" spans="1:16" ht="12.75" customHeight="1" x14ac:dyDescent="0.2">
      <c r="A164" s="41" t="s">
        <v>1513</v>
      </c>
      <c r="B164" s="25" t="s">
        <v>1514</v>
      </c>
      <c r="C164" s="434">
        <f t="shared" si="14"/>
        <v>6.3899999999999998E-2</v>
      </c>
      <c r="D164" s="107">
        <f t="shared" si="14"/>
        <v>9.3899999999999997E-2</v>
      </c>
      <c r="E164" s="107">
        <f t="shared" si="14"/>
        <v>9.3899999999999997E-2</v>
      </c>
      <c r="M164" s="434"/>
      <c r="N164" s="439"/>
      <c r="P164" s="36"/>
    </row>
    <row r="165" spans="1:16" ht="12.75" customHeight="1" x14ac:dyDescent="0.2">
      <c r="A165" s="41" t="s">
        <v>1515</v>
      </c>
      <c r="B165" s="25" t="s">
        <v>1516</v>
      </c>
      <c r="C165" s="434">
        <f t="shared" si="14"/>
        <v>6.0900000000000003E-2</v>
      </c>
      <c r="D165" s="107">
        <f t="shared" si="14"/>
        <v>9.0900000000000009E-2</v>
      </c>
      <c r="E165" s="107">
        <f t="shared" si="14"/>
        <v>9.0900000000000009E-2</v>
      </c>
      <c r="M165" s="434"/>
      <c r="N165" s="439"/>
      <c r="P165" s="36"/>
    </row>
    <row r="166" spans="1:16" ht="12.75" customHeight="1" x14ac:dyDescent="0.2">
      <c r="A166" s="41" t="s">
        <v>1517</v>
      </c>
      <c r="B166" s="25" t="s">
        <v>1518</v>
      </c>
      <c r="C166" s="434">
        <f t="shared" si="14"/>
        <v>6.2899999999999998E-2</v>
      </c>
      <c r="D166" s="107">
        <f t="shared" si="14"/>
        <v>9.2899999999999996E-2</v>
      </c>
      <c r="E166" s="107">
        <f t="shared" si="14"/>
        <v>9.2899999999999996E-2</v>
      </c>
      <c r="M166" s="434"/>
      <c r="N166" s="439"/>
      <c r="P166" s="36"/>
    </row>
    <row r="167" spans="1:16" ht="12.75" customHeight="1" x14ac:dyDescent="0.2">
      <c r="A167" s="41" t="s">
        <v>1519</v>
      </c>
      <c r="B167" s="25" t="s">
        <v>1520</v>
      </c>
      <c r="C167" s="434">
        <f t="shared" si="14"/>
        <v>6.3899999999999998E-2</v>
      </c>
      <c r="D167" s="107">
        <f t="shared" si="14"/>
        <v>9.3899999999999997E-2</v>
      </c>
      <c r="E167" s="107">
        <f t="shared" si="14"/>
        <v>9.3899999999999997E-2</v>
      </c>
      <c r="M167" s="434"/>
      <c r="N167" s="439"/>
      <c r="P167" s="36"/>
    </row>
    <row r="168" spans="1:16" ht="12.75" customHeight="1" x14ac:dyDescent="0.2">
      <c r="A168" s="41" t="s">
        <v>1521</v>
      </c>
      <c r="B168" s="25" t="s">
        <v>1522</v>
      </c>
      <c r="C168" s="434">
        <f t="shared" si="14"/>
        <v>6.3899999999999998E-2</v>
      </c>
      <c r="D168" s="107">
        <f t="shared" si="14"/>
        <v>9.0900000000000009E-2</v>
      </c>
      <c r="E168" s="107">
        <f t="shared" si="14"/>
        <v>9.0900000000000009E-2</v>
      </c>
      <c r="M168" s="434"/>
      <c r="N168" s="439"/>
      <c r="P168" s="36"/>
    </row>
    <row r="169" spans="1:16" ht="12.75" customHeight="1" x14ac:dyDescent="0.2">
      <c r="A169" s="41" t="s">
        <v>1523</v>
      </c>
      <c r="B169" s="25" t="s">
        <v>1524</v>
      </c>
      <c r="C169" s="434">
        <f t="shared" si="14"/>
        <v>6.3899999999999998E-2</v>
      </c>
      <c r="D169" s="107">
        <f t="shared" si="14"/>
        <v>9.0900000000000009E-2</v>
      </c>
      <c r="E169" s="107">
        <f t="shared" si="14"/>
        <v>9.0900000000000009E-2</v>
      </c>
      <c r="M169" s="434"/>
      <c r="N169" s="439"/>
      <c r="P169" s="36"/>
    </row>
    <row r="170" spans="1:16" ht="12.75" customHeight="1" x14ac:dyDescent="0.2">
      <c r="A170" s="41" t="s">
        <v>1525</v>
      </c>
      <c r="B170" s="25" t="s">
        <v>1526</v>
      </c>
      <c r="C170" s="434">
        <f t="shared" si="14"/>
        <v>6.3399999999999998E-2</v>
      </c>
      <c r="D170" s="107">
        <f t="shared" si="14"/>
        <v>9.0900000000000009E-2</v>
      </c>
      <c r="E170" s="107">
        <f t="shared" si="14"/>
        <v>9.0900000000000009E-2</v>
      </c>
      <c r="M170" s="434"/>
      <c r="N170" s="439"/>
      <c r="P170" s="36"/>
    </row>
    <row r="171" spans="1:16" ht="12.75" customHeight="1" x14ac:dyDescent="0.2">
      <c r="A171" s="41" t="s">
        <v>1527</v>
      </c>
      <c r="B171" s="25" t="s">
        <v>1528</v>
      </c>
      <c r="C171" s="434">
        <f t="shared" si="14"/>
        <v>6.54E-2</v>
      </c>
      <c r="D171" s="107">
        <f t="shared" si="14"/>
        <v>9.0900000000000009E-2</v>
      </c>
      <c r="E171" s="107">
        <f t="shared" si="14"/>
        <v>9.0900000000000009E-2</v>
      </c>
      <c r="M171" s="434"/>
      <c r="N171" s="439"/>
      <c r="P171" s="36"/>
    </row>
    <row r="172" spans="1:16" ht="12.75" customHeight="1" x14ac:dyDescent="0.2">
      <c r="A172" s="41" t="s">
        <v>1529</v>
      </c>
      <c r="B172" s="25" t="s">
        <v>1530</v>
      </c>
      <c r="C172" s="434">
        <f t="shared" si="14"/>
        <v>6.0900000000000003E-2</v>
      </c>
      <c r="D172" s="107">
        <f t="shared" si="14"/>
        <v>9.0900000000000009E-2</v>
      </c>
      <c r="E172" s="107">
        <f t="shared" si="14"/>
        <v>9.0900000000000009E-2</v>
      </c>
      <c r="M172" s="434"/>
      <c r="N172" s="439"/>
      <c r="P172" s="36"/>
    </row>
    <row r="173" spans="1:16" ht="12.75" customHeight="1" x14ac:dyDescent="0.2">
      <c r="A173" s="41" t="s">
        <v>1531</v>
      </c>
      <c r="B173" s="25" t="s">
        <v>1532</v>
      </c>
      <c r="C173" s="434">
        <f t="shared" si="14"/>
        <v>6.2400000000000004E-2</v>
      </c>
      <c r="D173" s="107">
        <f t="shared" si="14"/>
        <v>9.240000000000001E-2</v>
      </c>
      <c r="E173" s="107">
        <f t="shared" si="14"/>
        <v>9.240000000000001E-2</v>
      </c>
      <c r="M173" s="434"/>
      <c r="N173" s="439"/>
      <c r="P173" s="36"/>
    </row>
    <row r="174" spans="1:16" ht="12.75" customHeight="1" x14ac:dyDescent="0.2">
      <c r="A174" s="41" t="s">
        <v>1533</v>
      </c>
      <c r="B174" s="25" t="s">
        <v>1534</v>
      </c>
      <c r="C174" s="434">
        <f t="shared" si="14"/>
        <v>6.3899999999999998E-2</v>
      </c>
      <c r="D174" s="107">
        <f t="shared" si="14"/>
        <v>9.3899999999999997E-2</v>
      </c>
      <c r="E174" s="107">
        <f t="shared" si="14"/>
        <v>9.3899999999999997E-2</v>
      </c>
      <c r="M174" s="434"/>
      <c r="N174" s="439"/>
      <c r="P174" s="36"/>
    </row>
    <row r="175" spans="1:16" ht="12.75" customHeight="1" x14ac:dyDescent="0.2">
      <c r="A175" s="41" t="s">
        <v>1535</v>
      </c>
      <c r="B175" s="25" t="s">
        <v>1536</v>
      </c>
      <c r="C175" s="434">
        <f t="shared" si="14"/>
        <v>6.4399999999999999E-2</v>
      </c>
      <c r="D175" s="107">
        <f t="shared" si="14"/>
        <v>9.2399999999999996E-2</v>
      </c>
      <c r="E175" s="107">
        <f t="shared" si="14"/>
        <v>9.2399999999999996E-2</v>
      </c>
      <c r="M175" s="434"/>
      <c r="N175" s="439"/>
      <c r="P175" s="36"/>
    </row>
    <row r="176" spans="1:16" ht="12.75" customHeight="1" x14ac:dyDescent="0.2">
      <c r="A176" s="41" t="s">
        <v>1537</v>
      </c>
      <c r="B176" s="25" t="s">
        <v>1538</v>
      </c>
      <c r="C176" s="434">
        <f t="shared" si="14"/>
        <v>6.59E-2</v>
      </c>
      <c r="D176" s="107">
        <f t="shared" si="14"/>
        <v>9.3899999999999997E-2</v>
      </c>
      <c r="E176" s="107">
        <f t="shared" si="14"/>
        <v>9.3899999999999997E-2</v>
      </c>
      <c r="M176" s="434"/>
      <c r="N176" s="439"/>
      <c r="P176" s="36"/>
    </row>
    <row r="177" spans="1:16" ht="12.75" customHeight="1" x14ac:dyDescent="0.2">
      <c r="A177" s="41" t="s">
        <v>1539</v>
      </c>
      <c r="B177" s="25" t="s">
        <v>1540</v>
      </c>
      <c r="C177" s="434">
        <f t="shared" ref="C177:E196" si="15">+VLOOKUP($B177,Product_IR,C$135,FALSE)</f>
        <v>6.54E-2</v>
      </c>
      <c r="D177" s="107">
        <f t="shared" si="15"/>
        <v>9.240000000000001E-2</v>
      </c>
      <c r="E177" s="107">
        <f t="shared" si="15"/>
        <v>9.240000000000001E-2</v>
      </c>
      <c r="M177" s="434"/>
      <c r="N177" s="439"/>
      <c r="P177" s="36"/>
    </row>
    <row r="178" spans="1:16" ht="12.75" customHeight="1" x14ac:dyDescent="0.2">
      <c r="A178" s="41" t="s">
        <v>1541</v>
      </c>
      <c r="B178" s="25" t="s">
        <v>1542</v>
      </c>
      <c r="C178" s="434">
        <f t="shared" si="15"/>
        <v>6.54E-2</v>
      </c>
      <c r="D178" s="107">
        <f t="shared" si="15"/>
        <v>9.240000000000001E-2</v>
      </c>
      <c r="E178" s="107">
        <f t="shared" si="15"/>
        <v>9.240000000000001E-2</v>
      </c>
      <c r="M178" s="434"/>
      <c r="N178" s="439"/>
      <c r="P178" s="36"/>
    </row>
    <row r="179" spans="1:16" ht="12.75" customHeight="1" x14ac:dyDescent="0.2">
      <c r="A179" s="41" t="s">
        <v>1543</v>
      </c>
      <c r="B179" s="25" t="s">
        <v>1544</v>
      </c>
      <c r="C179" s="434">
        <f t="shared" si="15"/>
        <v>6.4899999999999999E-2</v>
      </c>
      <c r="D179" s="107">
        <f t="shared" si="15"/>
        <v>9.240000000000001E-2</v>
      </c>
      <c r="E179" s="107">
        <f t="shared" si="15"/>
        <v>9.240000000000001E-2</v>
      </c>
      <c r="M179" s="434"/>
      <c r="N179" s="439"/>
      <c r="P179" s="36"/>
    </row>
    <row r="180" spans="1:16" ht="12.75" customHeight="1" x14ac:dyDescent="0.2">
      <c r="A180" s="41" t="s">
        <v>1545</v>
      </c>
      <c r="B180" s="25" t="s">
        <v>1546</v>
      </c>
      <c r="C180" s="434">
        <f t="shared" si="15"/>
        <v>6.6900000000000001E-2</v>
      </c>
      <c r="D180" s="107">
        <f t="shared" si="15"/>
        <v>9.240000000000001E-2</v>
      </c>
      <c r="E180" s="107">
        <f t="shared" si="15"/>
        <v>9.240000000000001E-2</v>
      </c>
      <c r="M180" s="434"/>
      <c r="N180" s="439"/>
      <c r="P180" s="36"/>
    </row>
    <row r="181" spans="1:16" ht="12.75" customHeight="1" x14ac:dyDescent="0.2">
      <c r="A181" s="41" t="s">
        <v>1547</v>
      </c>
      <c r="B181" s="25" t="s">
        <v>1548</v>
      </c>
      <c r="C181" s="434">
        <f t="shared" si="15"/>
        <v>6.7400000000000002E-2</v>
      </c>
      <c r="D181" s="107">
        <f t="shared" si="15"/>
        <v>9.240000000000001E-2</v>
      </c>
      <c r="E181" s="107">
        <f t="shared" si="15"/>
        <v>9.240000000000001E-2</v>
      </c>
      <c r="M181" s="434"/>
      <c r="N181" s="439"/>
      <c r="P181" s="36"/>
    </row>
    <row r="182" spans="1:16" ht="12.75" customHeight="1" x14ac:dyDescent="0.2">
      <c r="A182" s="41" t="s">
        <v>1549</v>
      </c>
      <c r="B182" s="25" t="s">
        <v>1550</v>
      </c>
      <c r="C182" s="434">
        <f t="shared" si="15"/>
        <v>6.7400000000000002E-2</v>
      </c>
      <c r="D182" s="107">
        <f t="shared" si="15"/>
        <v>9.240000000000001E-2</v>
      </c>
      <c r="E182" s="107">
        <f t="shared" si="15"/>
        <v>9.240000000000001E-2</v>
      </c>
      <c r="M182" s="434"/>
      <c r="N182" s="439"/>
      <c r="P182" s="36"/>
    </row>
    <row r="183" spans="1:16" ht="12.75" customHeight="1" x14ac:dyDescent="0.2">
      <c r="A183" s="41" t="s">
        <v>1551</v>
      </c>
      <c r="B183" s="25" t="s">
        <v>1552</v>
      </c>
      <c r="C183" s="434">
        <f t="shared" si="15"/>
        <v>6.6900000000000001E-2</v>
      </c>
      <c r="D183" s="107">
        <f t="shared" si="15"/>
        <v>9.240000000000001E-2</v>
      </c>
      <c r="E183" s="107">
        <f t="shared" si="15"/>
        <v>9.240000000000001E-2</v>
      </c>
      <c r="M183" s="434"/>
      <c r="N183" s="439"/>
      <c r="P183" s="36"/>
    </row>
    <row r="184" spans="1:16" ht="12.75" customHeight="1" x14ac:dyDescent="0.2">
      <c r="A184" s="41" t="s">
        <v>1553</v>
      </c>
      <c r="B184" s="25" t="s">
        <v>1554</v>
      </c>
      <c r="C184" s="434">
        <f t="shared" si="15"/>
        <v>6.8900000000000003E-2</v>
      </c>
      <c r="D184" s="107">
        <f t="shared" si="15"/>
        <v>9.240000000000001E-2</v>
      </c>
      <c r="E184" s="107">
        <f t="shared" si="15"/>
        <v>9.240000000000001E-2</v>
      </c>
      <c r="M184" s="434"/>
      <c r="N184" s="439"/>
      <c r="P184" s="36"/>
    </row>
    <row r="185" spans="1:16" ht="12.75" customHeight="1" x14ac:dyDescent="0.2">
      <c r="A185" s="41" t="s">
        <v>1555</v>
      </c>
      <c r="B185" s="25" t="s">
        <v>1556</v>
      </c>
      <c r="C185" s="434">
        <f t="shared" si="15"/>
        <v>6.2400000000000004E-2</v>
      </c>
      <c r="D185" s="107">
        <f t="shared" si="15"/>
        <v>9.240000000000001E-2</v>
      </c>
      <c r="E185" s="107">
        <f t="shared" si="15"/>
        <v>9.240000000000001E-2</v>
      </c>
      <c r="M185" s="434"/>
      <c r="N185" s="439"/>
      <c r="P185" s="36"/>
    </row>
    <row r="186" spans="1:16" ht="12.75" customHeight="1" x14ac:dyDescent="0.2">
      <c r="A186" s="41" t="s">
        <v>1557</v>
      </c>
      <c r="B186" s="25" t="s">
        <v>1558</v>
      </c>
      <c r="C186" s="434">
        <f t="shared" si="15"/>
        <v>6.1900000000000004E-2</v>
      </c>
      <c r="D186" s="107">
        <f t="shared" si="15"/>
        <v>9.1900000000000009E-2</v>
      </c>
      <c r="E186" s="107">
        <f t="shared" si="15"/>
        <v>9.1900000000000009E-2</v>
      </c>
      <c r="M186" s="434"/>
      <c r="N186" s="439"/>
      <c r="P186" s="36"/>
    </row>
    <row r="187" spans="1:16" ht="12.75" customHeight="1" x14ac:dyDescent="0.2">
      <c r="A187" s="41" t="s">
        <v>1559</v>
      </c>
      <c r="B187" s="25" t="s">
        <v>1560</v>
      </c>
      <c r="C187" s="434">
        <f t="shared" si="15"/>
        <v>6.3899999999999998E-2</v>
      </c>
      <c r="D187" s="107">
        <f t="shared" si="15"/>
        <v>9.3899999999999997E-2</v>
      </c>
      <c r="E187" s="107">
        <f t="shared" si="15"/>
        <v>9.3899999999999997E-2</v>
      </c>
      <c r="M187" s="434"/>
      <c r="N187" s="439"/>
      <c r="P187" s="36"/>
    </row>
    <row r="188" spans="1:16" ht="12.75" customHeight="1" x14ac:dyDescent="0.2">
      <c r="A188" s="41" t="s">
        <v>1561</v>
      </c>
      <c r="B188" s="25" t="s">
        <v>1562</v>
      </c>
      <c r="C188" s="434">
        <f t="shared" si="15"/>
        <v>6.4899999999999999E-2</v>
      </c>
      <c r="D188" s="107">
        <f t="shared" si="15"/>
        <v>9.4899999999999998E-2</v>
      </c>
      <c r="E188" s="107">
        <f t="shared" si="15"/>
        <v>9.4899999999999998E-2</v>
      </c>
      <c r="M188" s="434"/>
      <c r="N188" s="439"/>
      <c r="P188" s="36"/>
    </row>
    <row r="189" spans="1:16" ht="12.75" customHeight="1" x14ac:dyDescent="0.2">
      <c r="A189" s="41" t="s">
        <v>1563</v>
      </c>
      <c r="B189" s="25" t="s">
        <v>1564</v>
      </c>
      <c r="C189" s="434">
        <f t="shared" si="15"/>
        <v>6.1900000000000004E-2</v>
      </c>
      <c r="D189" s="107">
        <f t="shared" si="15"/>
        <v>9.1900000000000009E-2</v>
      </c>
      <c r="E189" s="107">
        <f t="shared" si="15"/>
        <v>9.1900000000000009E-2</v>
      </c>
      <c r="M189" s="434"/>
      <c r="N189" s="439"/>
      <c r="P189" s="36"/>
    </row>
    <row r="190" spans="1:16" ht="12.75" customHeight="1" x14ac:dyDescent="0.2">
      <c r="A190" s="41" t="s">
        <v>1565</v>
      </c>
      <c r="B190" s="25" t="s">
        <v>1566</v>
      </c>
      <c r="C190" s="434">
        <f t="shared" si="15"/>
        <v>6.3899999999999998E-2</v>
      </c>
      <c r="D190" s="107">
        <f t="shared" si="15"/>
        <v>9.3899999999999997E-2</v>
      </c>
      <c r="E190" s="107">
        <f t="shared" si="15"/>
        <v>9.3899999999999997E-2</v>
      </c>
      <c r="M190" s="434"/>
      <c r="N190" s="439"/>
      <c r="P190" s="36"/>
    </row>
    <row r="191" spans="1:16" ht="12.75" customHeight="1" x14ac:dyDescent="0.2">
      <c r="A191" s="41" t="s">
        <v>1567</v>
      </c>
      <c r="B191" s="25" t="s">
        <v>1568</v>
      </c>
      <c r="C191" s="434">
        <f t="shared" si="15"/>
        <v>6.4899999999999999E-2</v>
      </c>
      <c r="D191" s="107">
        <f t="shared" si="15"/>
        <v>9.4899999999999998E-2</v>
      </c>
      <c r="E191" s="107">
        <f t="shared" si="15"/>
        <v>9.4899999999999998E-2</v>
      </c>
      <c r="M191" s="434"/>
      <c r="N191" s="439"/>
      <c r="P191" s="36"/>
    </row>
    <row r="192" spans="1:16" ht="12.75" customHeight="1" x14ac:dyDescent="0.2">
      <c r="A192" s="41" t="s">
        <v>1569</v>
      </c>
      <c r="B192" s="25" t="s">
        <v>1570</v>
      </c>
      <c r="C192" s="434">
        <f t="shared" si="15"/>
        <v>6.4899999999999999E-2</v>
      </c>
      <c r="D192" s="107">
        <f t="shared" si="15"/>
        <v>9.1900000000000009E-2</v>
      </c>
      <c r="E192" s="107">
        <f t="shared" si="15"/>
        <v>9.1900000000000009E-2</v>
      </c>
      <c r="M192" s="434"/>
      <c r="N192" s="439"/>
      <c r="P192" s="36"/>
    </row>
    <row r="193" spans="1:16" ht="12.75" customHeight="1" x14ac:dyDescent="0.2">
      <c r="A193" s="41" t="s">
        <v>1571</v>
      </c>
      <c r="B193" s="25" t="s">
        <v>1572</v>
      </c>
      <c r="C193" s="434">
        <f t="shared" si="15"/>
        <v>6.4899999999999999E-2</v>
      </c>
      <c r="D193" s="107">
        <f t="shared" si="15"/>
        <v>9.1900000000000009E-2</v>
      </c>
      <c r="E193" s="107">
        <f t="shared" si="15"/>
        <v>9.1900000000000009E-2</v>
      </c>
      <c r="M193" s="434"/>
      <c r="N193" s="439"/>
      <c r="P193" s="36"/>
    </row>
    <row r="194" spans="1:16" ht="12.75" customHeight="1" x14ac:dyDescent="0.2">
      <c r="A194" s="41" t="s">
        <v>1573</v>
      </c>
      <c r="B194" s="25" t="s">
        <v>1574</v>
      </c>
      <c r="C194" s="434">
        <f t="shared" si="15"/>
        <v>6.4899999999999999E-2</v>
      </c>
      <c r="D194" s="107">
        <f t="shared" si="15"/>
        <v>9.1900000000000009E-2</v>
      </c>
      <c r="E194" s="107">
        <f t="shared" si="15"/>
        <v>9.1900000000000009E-2</v>
      </c>
      <c r="M194" s="434"/>
      <c r="N194" s="439"/>
      <c r="P194" s="36"/>
    </row>
    <row r="195" spans="1:16" ht="12.75" customHeight="1" x14ac:dyDescent="0.2">
      <c r="A195" s="41" t="s">
        <v>1575</v>
      </c>
      <c r="B195" s="25" t="s">
        <v>1576</v>
      </c>
      <c r="C195" s="434">
        <f t="shared" si="15"/>
        <v>6.4399999999999999E-2</v>
      </c>
      <c r="D195" s="107">
        <f t="shared" si="15"/>
        <v>9.1900000000000009E-2</v>
      </c>
      <c r="E195" s="107">
        <f t="shared" si="15"/>
        <v>9.1900000000000009E-2</v>
      </c>
      <c r="M195" s="434"/>
      <c r="N195" s="439"/>
      <c r="P195" s="36"/>
    </row>
    <row r="196" spans="1:16" ht="12.75" customHeight="1" x14ac:dyDescent="0.2">
      <c r="A196" s="41" t="s">
        <v>1577</v>
      </c>
      <c r="B196" s="25" t="s">
        <v>1578</v>
      </c>
      <c r="C196" s="434">
        <f t="shared" si="15"/>
        <v>6.6400000000000001E-2</v>
      </c>
      <c r="D196" s="107">
        <f t="shared" si="15"/>
        <v>9.1900000000000009E-2</v>
      </c>
      <c r="E196" s="107">
        <f t="shared" si="15"/>
        <v>9.1900000000000009E-2</v>
      </c>
      <c r="M196" s="434"/>
      <c r="N196" s="439"/>
      <c r="P196" s="36"/>
    </row>
    <row r="197" spans="1:16" ht="12.75" customHeight="1" x14ac:dyDescent="0.2">
      <c r="A197" s="41" t="s">
        <v>1579</v>
      </c>
      <c r="B197" s="25" t="s">
        <v>1580</v>
      </c>
      <c r="C197" s="434">
        <f t="shared" ref="C197:E210" si="16">+VLOOKUP($B197,Product_IR,C$135,FALSE)</f>
        <v>6.1900000000000004E-2</v>
      </c>
      <c r="D197" s="107">
        <f t="shared" si="16"/>
        <v>9.1900000000000009E-2</v>
      </c>
      <c r="E197" s="107">
        <f t="shared" si="16"/>
        <v>9.1900000000000009E-2</v>
      </c>
      <c r="M197" s="434"/>
      <c r="N197" s="439"/>
      <c r="P197" s="36"/>
    </row>
    <row r="198" spans="1:16" ht="12.75" customHeight="1" x14ac:dyDescent="0.2">
      <c r="A198" s="41" t="s">
        <v>1581</v>
      </c>
      <c r="B198" s="25" t="s">
        <v>1582</v>
      </c>
      <c r="C198" s="434">
        <f t="shared" si="16"/>
        <v>6.3399999999999998E-2</v>
      </c>
      <c r="D198" s="107">
        <f t="shared" si="16"/>
        <v>9.3399999999999997E-2</v>
      </c>
      <c r="E198" s="107">
        <f t="shared" si="16"/>
        <v>9.3399999999999997E-2</v>
      </c>
      <c r="M198" s="434"/>
      <c r="N198" s="439"/>
      <c r="P198" s="36"/>
    </row>
    <row r="199" spans="1:16" ht="12.75" customHeight="1" x14ac:dyDescent="0.2">
      <c r="A199" s="41" t="s">
        <v>1583</v>
      </c>
      <c r="B199" s="25" t="s">
        <v>1584</v>
      </c>
      <c r="C199" s="434">
        <f t="shared" si="16"/>
        <v>6.4899999999999999E-2</v>
      </c>
      <c r="D199" s="107">
        <f t="shared" si="16"/>
        <v>9.4899999999999998E-2</v>
      </c>
      <c r="E199" s="107">
        <f t="shared" si="16"/>
        <v>9.4899999999999998E-2</v>
      </c>
      <c r="M199" s="434"/>
      <c r="N199" s="439"/>
      <c r="P199" s="36"/>
    </row>
    <row r="200" spans="1:16" ht="12.75" customHeight="1" x14ac:dyDescent="0.2">
      <c r="A200" s="41" t="s">
        <v>1585</v>
      </c>
      <c r="B200" s="25" t="s">
        <v>1586</v>
      </c>
      <c r="C200" s="434">
        <f t="shared" si="16"/>
        <v>6.54E-2</v>
      </c>
      <c r="D200" s="107">
        <f t="shared" si="16"/>
        <v>9.3399999999999997E-2</v>
      </c>
      <c r="E200" s="107">
        <f t="shared" si="16"/>
        <v>9.3399999999999997E-2</v>
      </c>
      <c r="M200" s="434"/>
      <c r="N200" s="439"/>
      <c r="P200" s="36"/>
    </row>
    <row r="201" spans="1:16" ht="12.75" customHeight="1" x14ac:dyDescent="0.2">
      <c r="A201" s="41" t="s">
        <v>1587</v>
      </c>
      <c r="B201" s="25" t="s">
        <v>1588</v>
      </c>
      <c r="C201" s="434">
        <f t="shared" si="16"/>
        <v>6.6900000000000001E-2</v>
      </c>
      <c r="D201" s="107">
        <f t="shared" si="16"/>
        <v>9.4899999999999998E-2</v>
      </c>
      <c r="E201" s="107">
        <f t="shared" si="16"/>
        <v>9.4899999999999998E-2</v>
      </c>
      <c r="M201" s="434"/>
      <c r="N201" s="439"/>
      <c r="P201" s="36"/>
    </row>
    <row r="202" spans="1:16" ht="12.75" customHeight="1" x14ac:dyDescent="0.2">
      <c r="A202" s="41" t="s">
        <v>1589</v>
      </c>
      <c r="B202" s="25" t="s">
        <v>1590</v>
      </c>
      <c r="C202" s="434">
        <f t="shared" si="16"/>
        <v>6.6400000000000001E-2</v>
      </c>
      <c r="D202" s="107">
        <f t="shared" si="16"/>
        <v>9.3399999999999997E-2</v>
      </c>
      <c r="E202" s="107">
        <f t="shared" si="16"/>
        <v>9.3399999999999997E-2</v>
      </c>
      <c r="M202" s="434"/>
      <c r="N202" s="439"/>
      <c r="P202" s="36"/>
    </row>
    <row r="203" spans="1:16" ht="12.75" customHeight="1" x14ac:dyDescent="0.2">
      <c r="A203" s="41" t="s">
        <v>1591</v>
      </c>
      <c r="B203" s="25" t="s">
        <v>1592</v>
      </c>
      <c r="C203" s="434">
        <f t="shared" si="16"/>
        <v>6.6400000000000001E-2</v>
      </c>
      <c r="D203" s="107">
        <f t="shared" si="16"/>
        <v>9.3399999999999997E-2</v>
      </c>
      <c r="E203" s="107">
        <f t="shared" si="16"/>
        <v>9.3399999999999997E-2</v>
      </c>
      <c r="M203" s="434"/>
      <c r="N203" s="439"/>
      <c r="P203" s="36"/>
    </row>
    <row r="204" spans="1:16" ht="12.75" customHeight="1" x14ac:dyDescent="0.2">
      <c r="A204" s="41" t="s">
        <v>1593</v>
      </c>
      <c r="B204" s="25" t="s">
        <v>1594</v>
      </c>
      <c r="C204" s="434">
        <f t="shared" si="16"/>
        <v>6.59E-2</v>
      </c>
      <c r="D204" s="107">
        <f t="shared" si="16"/>
        <v>9.3399999999999997E-2</v>
      </c>
      <c r="E204" s="107">
        <f t="shared" si="16"/>
        <v>9.3399999999999997E-2</v>
      </c>
      <c r="M204" s="434"/>
      <c r="N204" s="439"/>
      <c r="P204" s="36"/>
    </row>
    <row r="205" spans="1:16" ht="12.75" customHeight="1" x14ac:dyDescent="0.2">
      <c r="A205" s="41" t="s">
        <v>1595</v>
      </c>
      <c r="B205" s="25" t="s">
        <v>1596</v>
      </c>
      <c r="C205" s="434">
        <f t="shared" si="16"/>
        <v>6.7900000000000002E-2</v>
      </c>
      <c r="D205" s="107">
        <f t="shared" si="16"/>
        <v>9.3399999999999997E-2</v>
      </c>
      <c r="E205" s="107">
        <f t="shared" si="16"/>
        <v>9.3399999999999997E-2</v>
      </c>
      <c r="M205" s="434"/>
      <c r="N205" s="439"/>
      <c r="P205" s="36"/>
    </row>
    <row r="206" spans="1:16" ht="12.75" customHeight="1" x14ac:dyDescent="0.2">
      <c r="A206" s="41" t="s">
        <v>1597</v>
      </c>
      <c r="B206" s="25" t="s">
        <v>1598</v>
      </c>
      <c r="C206" s="434">
        <f t="shared" si="16"/>
        <v>6.8400000000000002E-2</v>
      </c>
      <c r="D206" s="107">
        <f t="shared" si="16"/>
        <v>9.3399999999999997E-2</v>
      </c>
      <c r="E206" s="107">
        <f t="shared" si="16"/>
        <v>9.3399999999999997E-2</v>
      </c>
      <c r="M206" s="434"/>
      <c r="N206" s="439"/>
      <c r="P206" s="36"/>
    </row>
    <row r="207" spans="1:16" ht="12.75" customHeight="1" x14ac:dyDescent="0.2">
      <c r="A207" s="41" t="s">
        <v>1599</v>
      </c>
      <c r="B207" s="25" t="s">
        <v>1600</v>
      </c>
      <c r="C207" s="434">
        <f t="shared" si="16"/>
        <v>6.8400000000000002E-2</v>
      </c>
      <c r="D207" s="107">
        <f t="shared" si="16"/>
        <v>9.3399999999999997E-2</v>
      </c>
      <c r="E207" s="107">
        <f t="shared" si="16"/>
        <v>9.3399999999999997E-2</v>
      </c>
      <c r="M207" s="434"/>
      <c r="N207" s="439"/>
      <c r="P207" s="36"/>
    </row>
    <row r="208" spans="1:16" ht="12.75" customHeight="1" x14ac:dyDescent="0.2">
      <c r="A208" s="41" t="s">
        <v>1601</v>
      </c>
      <c r="B208" s="25" t="s">
        <v>1602</v>
      </c>
      <c r="C208" s="434">
        <f t="shared" si="16"/>
        <v>6.7900000000000002E-2</v>
      </c>
      <c r="D208" s="107">
        <f t="shared" si="16"/>
        <v>9.3399999999999997E-2</v>
      </c>
      <c r="E208" s="107">
        <f t="shared" si="16"/>
        <v>9.3399999999999997E-2</v>
      </c>
      <c r="M208" s="434"/>
      <c r="N208" s="439"/>
      <c r="P208" s="36"/>
    </row>
    <row r="209" spans="1:16" ht="12.75" customHeight="1" x14ac:dyDescent="0.2">
      <c r="A209" s="41" t="s">
        <v>1603</v>
      </c>
      <c r="B209" s="25" t="s">
        <v>1604</v>
      </c>
      <c r="C209" s="434">
        <f t="shared" si="16"/>
        <v>6.9900000000000004E-2</v>
      </c>
      <c r="D209" s="107">
        <f t="shared" si="16"/>
        <v>9.3399999999999997E-2</v>
      </c>
      <c r="E209" s="107">
        <f t="shared" si="16"/>
        <v>9.3399999999999997E-2</v>
      </c>
      <c r="M209" s="434"/>
      <c r="N209" s="439"/>
      <c r="P209" s="36"/>
    </row>
    <row r="210" spans="1:16" ht="12.75" customHeight="1" x14ac:dyDescent="0.2">
      <c r="A210" s="41" t="s">
        <v>1605</v>
      </c>
      <c r="B210" s="25" t="s">
        <v>1606</v>
      </c>
      <c r="C210" s="434">
        <f t="shared" si="16"/>
        <v>6.3399999999999998E-2</v>
      </c>
      <c r="D210" s="107">
        <f t="shared" si="16"/>
        <v>9.3399999999999997E-2</v>
      </c>
      <c r="E210" s="107">
        <f t="shared" si="16"/>
        <v>9.3399999999999997E-2</v>
      </c>
      <c r="M210" s="434"/>
      <c r="N210" s="439"/>
      <c r="P210" s="36"/>
    </row>
    <row r="211" spans="1:16" ht="12.75" customHeight="1" x14ac:dyDescent="0.2">
      <c r="A211" s="18" t="s">
        <v>1421</v>
      </c>
      <c r="B211" s="18" t="s">
        <v>152</v>
      </c>
      <c r="C211" s="498">
        <f>C212+H131</f>
        <v>6.8400000000000002E-2</v>
      </c>
      <c r="D211" s="434">
        <f>C211+D131</f>
        <v>9.8400000000000001E-2</v>
      </c>
      <c r="E211" s="434">
        <f>C211+D131</f>
        <v>9.8400000000000001E-2</v>
      </c>
      <c r="M211" s="434"/>
      <c r="N211" s="439"/>
      <c r="P211" s="36"/>
    </row>
    <row r="212" spans="1:16" ht="12.75" customHeight="1" x14ac:dyDescent="0.2">
      <c r="A212" s="18" t="s">
        <v>1415</v>
      </c>
      <c r="B212" s="18" t="s">
        <v>152</v>
      </c>
      <c r="C212" s="498">
        <f>+VLOOKUP($B212,Product_IR,C$135,FALSE)-VLOOKUP(Broker!C24,Tables!L239:M240,2,TRUE)</f>
        <v>6.6900000000000001E-2</v>
      </c>
      <c r="D212" s="434">
        <f>+VLOOKUP($B212,Product_IR,D$135,FALSE)</f>
        <v>9.69E-2</v>
      </c>
      <c r="E212" s="434">
        <f t="shared" ref="E212:E235" si="17">+VLOOKUP($B212,Product_IR,E$135,FALSE)</f>
        <v>9.69E-2</v>
      </c>
      <c r="H212" s="18"/>
      <c r="M212" s="685"/>
      <c r="N212" s="439"/>
      <c r="O212" s="36"/>
      <c r="P212" s="36"/>
    </row>
    <row r="213" spans="1:16" ht="12.75" customHeight="1" x14ac:dyDescent="0.2">
      <c r="A213" s="18" t="s">
        <v>151</v>
      </c>
      <c r="B213" s="18" t="s">
        <v>152</v>
      </c>
      <c r="C213" s="498">
        <f>+C212+G131</f>
        <v>6.2400000000000004E-2</v>
      </c>
      <c r="D213" s="434">
        <f>C213+C131</f>
        <v>9.240000000000001E-2</v>
      </c>
      <c r="E213" s="434">
        <f>C213+D131</f>
        <v>9.240000000000001E-2</v>
      </c>
      <c r="H213" s="18"/>
      <c r="M213" s="685"/>
      <c r="N213" s="439"/>
      <c r="O213" s="36"/>
      <c r="P213" s="36"/>
    </row>
    <row r="214" spans="1:16" ht="12.75" customHeight="1" x14ac:dyDescent="0.2">
      <c r="A214" s="18" t="s">
        <v>153</v>
      </c>
      <c r="B214" s="18" t="s">
        <v>154</v>
      </c>
      <c r="C214" s="498">
        <f>+VLOOKUP(B214,Product_IR,2,FALSE)</f>
        <v>7.9000000000000001E-2</v>
      </c>
      <c r="D214" s="434">
        <f t="shared" ref="D214:D220" si="18">+VLOOKUP($B214,Product_IR,D$135,FALSE)</f>
        <v>0.109</v>
      </c>
      <c r="E214" s="434">
        <f t="shared" si="17"/>
        <v>0.109</v>
      </c>
      <c r="F214" s="35">
        <f>+Tables!G244</f>
        <v>0</v>
      </c>
      <c r="G214" s="444">
        <f>+Tables!H244</f>
        <v>0</v>
      </c>
      <c r="H214" s="444">
        <f>+Tables!I244</f>
        <v>249999</v>
      </c>
      <c r="I214" s="132">
        <f>+Tables!J244</f>
        <v>499999</v>
      </c>
      <c r="J214" s="693">
        <f>+Tables!K244</f>
        <v>749999</v>
      </c>
      <c r="M214" s="685"/>
      <c r="P214" s="36"/>
    </row>
    <row r="215" spans="1:16" ht="12.75" customHeight="1" x14ac:dyDescent="0.2">
      <c r="A215" s="18" t="s">
        <v>155</v>
      </c>
      <c r="B215" s="18" t="s">
        <v>156</v>
      </c>
      <c r="C215" s="498">
        <f>C214-VLOOKUP(Broker!C24,Tables!L244:M247,2,TRUE)</f>
        <v>7.1500000000000008E-2</v>
      </c>
      <c r="D215" s="434" t="e">
        <f t="shared" si="18"/>
        <v>#N/A</v>
      </c>
      <c r="E215" s="434" t="e">
        <f t="shared" si="17"/>
        <v>#N/A</v>
      </c>
      <c r="F215" s="551">
        <f>+Tables!G245</f>
        <v>33</v>
      </c>
      <c r="G215" s="32">
        <f>+Tables!H245</f>
        <v>7.4999999999999997E-3</v>
      </c>
      <c r="H215" s="32">
        <f>+Tables!I245</f>
        <v>8.5000000000000006E-3</v>
      </c>
      <c r="I215" s="694">
        <f>+Tables!J245</f>
        <v>9.4999999999999998E-3</v>
      </c>
      <c r="J215" s="694">
        <f>+Tables!K245</f>
        <v>1.0500000000000001E-2</v>
      </c>
      <c r="M215" s="685"/>
      <c r="N215" s="439"/>
      <c r="O215" s="36"/>
      <c r="P215" s="36"/>
    </row>
    <row r="216" spans="1:16" ht="12.75" customHeight="1" x14ac:dyDescent="0.2">
      <c r="A216" s="25" t="s">
        <v>157</v>
      </c>
      <c r="B216" s="25" t="s">
        <v>158</v>
      </c>
      <c r="C216" s="498">
        <f>+VLOOKUP(B216,Product_IR,2,FALSE)</f>
        <v>6.2399999999999997E-2</v>
      </c>
      <c r="D216" s="434" t="e">
        <f t="shared" si="18"/>
        <v>#N/A</v>
      </c>
      <c r="E216" s="434" t="e">
        <f t="shared" si="17"/>
        <v>#N/A</v>
      </c>
      <c r="F216" s="551">
        <f>+Tables!G246</f>
        <v>33</v>
      </c>
      <c r="M216" s="685"/>
      <c r="N216" s="439"/>
      <c r="O216" s="36"/>
      <c r="P216" s="36"/>
    </row>
    <row r="217" spans="1:16" ht="12.75" customHeight="1" x14ac:dyDescent="0.2">
      <c r="A217" s="25" t="s">
        <v>159</v>
      </c>
      <c r="B217" s="25" t="s">
        <v>160</v>
      </c>
      <c r="C217" s="498">
        <f>+VLOOKUP(B217,Product_IR,2,FALSE)</f>
        <v>6.2399999999999997E-2</v>
      </c>
      <c r="D217" s="434" t="e">
        <f t="shared" si="18"/>
        <v>#N/A</v>
      </c>
      <c r="E217" s="434" t="e">
        <f t="shared" si="17"/>
        <v>#N/A</v>
      </c>
      <c r="F217" s="551">
        <f>+Tables!G247</f>
        <v>33</v>
      </c>
      <c r="M217" s="695"/>
      <c r="N217" s="439"/>
      <c r="O217" s="36"/>
      <c r="P217" s="36"/>
    </row>
    <row r="218" spans="1:16" ht="12.75" customHeight="1" x14ac:dyDescent="0.2">
      <c r="A218" s="25" t="s">
        <v>161</v>
      </c>
      <c r="B218" s="25" t="s">
        <v>162</v>
      </c>
      <c r="C218" s="498">
        <f>+VLOOKUP(B218,Product_IR,2,FALSE)</f>
        <v>5.9900000000000002E-2</v>
      </c>
      <c r="D218" s="434" t="e">
        <f t="shared" si="18"/>
        <v>#N/A</v>
      </c>
      <c r="E218" s="434" t="e">
        <f t="shared" si="17"/>
        <v>#N/A</v>
      </c>
      <c r="F218" s="551">
        <f>+Tables!G248</f>
        <v>33</v>
      </c>
      <c r="H218" s="18"/>
      <c r="M218" s="685"/>
      <c r="N218" s="439"/>
      <c r="O218" s="36"/>
      <c r="P218" s="36"/>
    </row>
    <row r="219" spans="1:16" ht="12.75" customHeight="1" x14ac:dyDescent="0.2">
      <c r="A219" s="25" t="s">
        <v>163</v>
      </c>
      <c r="B219" s="25" t="s">
        <v>164</v>
      </c>
      <c r="C219" s="498">
        <f>+VLOOKUP(B219,Product_IR,2,FALSE)</f>
        <v>6.6400000000000001E-2</v>
      </c>
      <c r="D219" s="434" t="e">
        <f t="shared" si="18"/>
        <v>#N/A</v>
      </c>
      <c r="E219" s="434" t="e">
        <f t="shared" si="17"/>
        <v>#N/A</v>
      </c>
      <c r="F219" s="551">
        <f>+Tables!G249</f>
        <v>33</v>
      </c>
      <c r="H219" s="18"/>
      <c r="M219" s="685"/>
      <c r="N219" s="439"/>
      <c r="O219" s="36"/>
      <c r="P219" s="36"/>
    </row>
    <row r="220" spans="1:16" ht="12.75" customHeight="1" x14ac:dyDescent="0.2">
      <c r="A220" s="25" t="s">
        <v>1417</v>
      </c>
      <c r="B220" s="25" t="s">
        <v>1427</v>
      </c>
      <c r="C220" s="498" t="e">
        <f>+VLOOKUP($B220,Product_IR,C$135,FALSE)-VLOOKUP(Broker!C$24,Tables!L252:M253,2,TRUE)</f>
        <v>#N/A</v>
      </c>
      <c r="D220" s="434" t="e">
        <f t="shared" si="18"/>
        <v>#N/A</v>
      </c>
      <c r="E220" s="434" t="e">
        <f t="shared" si="17"/>
        <v>#N/A</v>
      </c>
      <c r="H220" s="18"/>
      <c r="M220" s="685"/>
      <c r="N220" s="439"/>
      <c r="P220" s="36"/>
    </row>
    <row r="221" spans="1:16" ht="12.75" customHeight="1" x14ac:dyDescent="0.2">
      <c r="A221" s="25" t="s">
        <v>1418</v>
      </c>
      <c r="B221" s="25" t="s">
        <v>1428</v>
      </c>
      <c r="C221" s="498" t="e">
        <f>+C220+E$131</f>
        <v>#N/A</v>
      </c>
      <c r="D221" s="434">
        <f>+VLOOKUP($B226,Product_IR,D$135,FALSE)</f>
        <v>0.1074</v>
      </c>
      <c r="E221" s="434">
        <f>+VLOOKUP($B226,Product_IR,E$135,FALSE)</f>
        <v>0.1074</v>
      </c>
      <c r="H221" s="18"/>
      <c r="M221" s="685"/>
      <c r="N221" s="36"/>
      <c r="O221" s="36"/>
      <c r="P221" s="36"/>
    </row>
    <row r="222" spans="1:16" ht="12.75" customHeight="1" x14ac:dyDescent="0.2">
      <c r="A222" s="25" t="s">
        <v>165</v>
      </c>
      <c r="B222" s="25" t="s">
        <v>166</v>
      </c>
      <c r="C222" s="498" t="e">
        <f>+VLOOKUP($B222,Product_IR,C$135,FALSE)-VLOOKUP(Broker!C$24,Tables!L252:M253,2,TRUE)</f>
        <v>#N/A</v>
      </c>
      <c r="D222" s="434" t="e">
        <f t="shared" ref="D222:D235" si="19">+VLOOKUP($B222,Product_IR,D$135,FALSE)</f>
        <v>#N/A</v>
      </c>
      <c r="E222" s="434" t="e">
        <f t="shared" si="17"/>
        <v>#N/A</v>
      </c>
      <c r="H222" s="18"/>
      <c r="M222" s="685"/>
      <c r="N222" s="36"/>
      <c r="O222" s="36"/>
      <c r="P222" s="36"/>
    </row>
    <row r="223" spans="1:16" ht="12.75" customHeight="1" x14ac:dyDescent="0.2">
      <c r="A223" s="25" t="s">
        <v>167</v>
      </c>
      <c r="B223" s="25" t="s">
        <v>168</v>
      </c>
      <c r="C223" s="498" t="e">
        <f>+C222+E$131</f>
        <v>#N/A</v>
      </c>
      <c r="D223" s="434">
        <f t="shared" si="19"/>
        <v>0.1074</v>
      </c>
      <c r="E223" s="434">
        <f t="shared" si="17"/>
        <v>0.1074</v>
      </c>
      <c r="H223" s="18"/>
      <c r="M223" s="685"/>
      <c r="N223" s="36"/>
      <c r="O223" s="36"/>
      <c r="P223" s="36"/>
    </row>
    <row r="224" spans="1:16" ht="12.75" customHeight="1" x14ac:dyDescent="0.2">
      <c r="A224" s="18" t="s">
        <v>169</v>
      </c>
      <c r="B224" s="18" t="s">
        <v>170</v>
      </c>
      <c r="C224" s="498">
        <f>+VLOOKUP(B224,Product_IR,2,FALSE)</f>
        <v>8.4900000000000003E-2</v>
      </c>
      <c r="D224" s="434">
        <f t="shared" si="19"/>
        <v>0.1149</v>
      </c>
      <c r="E224" s="434">
        <f t="shared" si="17"/>
        <v>0.1149</v>
      </c>
      <c r="H224" s="18"/>
      <c r="M224" s="685"/>
      <c r="N224" s="439"/>
      <c r="O224" s="36"/>
      <c r="P224" s="36"/>
    </row>
    <row r="225" spans="1:16" ht="12.75" customHeight="1" x14ac:dyDescent="0.2">
      <c r="A225" s="18" t="s">
        <v>171</v>
      </c>
      <c r="B225" s="18" t="s">
        <v>172</v>
      </c>
      <c r="C225" s="498">
        <f>+C224+E$131</f>
        <v>8.6900000000000005E-2</v>
      </c>
      <c r="D225" s="434">
        <f t="shared" si="19"/>
        <v>0.1149</v>
      </c>
      <c r="E225" s="434">
        <f t="shared" si="17"/>
        <v>0.1149</v>
      </c>
      <c r="F225" s="35">
        <f>+Tables!G258</f>
        <v>0</v>
      </c>
      <c r="G225" s="444">
        <f>+Tables!H258</f>
        <v>0</v>
      </c>
      <c r="H225" s="444">
        <f>+Tables!I258</f>
        <v>249999</v>
      </c>
      <c r="I225" s="132">
        <f>+Tables!J258</f>
        <v>499999</v>
      </c>
      <c r="J225" s="693">
        <f>+Tables!K258</f>
        <v>749999</v>
      </c>
      <c r="M225" s="685"/>
      <c r="O225" s="36"/>
      <c r="P225" s="36"/>
    </row>
    <row r="226" spans="1:16" ht="12.75" customHeight="1" x14ac:dyDescent="0.2">
      <c r="A226" s="25" t="s">
        <v>173</v>
      </c>
      <c r="B226" s="25" t="s">
        <v>174</v>
      </c>
      <c r="C226" s="498">
        <f>C224-VLOOKUP(Broker!C$24,Tables!L258:M261,2,TRUE)</f>
        <v>7.7399999999999997E-2</v>
      </c>
      <c r="D226" s="434">
        <f t="shared" si="19"/>
        <v>0.1074</v>
      </c>
      <c r="E226" s="434">
        <f t="shared" si="17"/>
        <v>0.1074</v>
      </c>
      <c r="F226" s="551">
        <f>+Tables!G259</f>
        <v>33</v>
      </c>
      <c r="G226" s="32">
        <f>+Tables!H259</f>
        <v>7.4999999999999997E-3</v>
      </c>
      <c r="H226" s="32">
        <f>+Tables!I259</f>
        <v>8.5000000000000006E-3</v>
      </c>
      <c r="I226" s="694">
        <f>+Tables!J259</f>
        <v>9.4999999999999998E-3</v>
      </c>
      <c r="J226" s="694">
        <f>+Tables!K259</f>
        <v>1.0500000000000001E-2</v>
      </c>
      <c r="M226" s="685"/>
      <c r="O226" s="36"/>
      <c r="P226" s="36"/>
    </row>
    <row r="227" spans="1:16" ht="12.75" customHeight="1" x14ac:dyDescent="0.2">
      <c r="A227" s="25" t="s">
        <v>175</v>
      </c>
      <c r="B227" s="25" t="s">
        <v>176</v>
      </c>
      <c r="C227" s="498">
        <f>+C226+E$131</f>
        <v>7.9399999999999998E-2</v>
      </c>
      <c r="D227" s="434">
        <f t="shared" si="19"/>
        <v>0.1074</v>
      </c>
      <c r="E227" s="434">
        <f t="shared" si="17"/>
        <v>0.1074</v>
      </c>
      <c r="F227" s="551">
        <f>+Tables!G260</f>
        <v>33</v>
      </c>
      <c r="M227" s="685"/>
      <c r="N227" s="439"/>
      <c r="O227" s="36"/>
      <c r="P227" s="36"/>
    </row>
    <row r="228" spans="1:16" ht="12.75" customHeight="1" x14ac:dyDescent="0.2">
      <c r="A228" s="25" t="s">
        <v>177</v>
      </c>
      <c r="B228" s="25" t="s">
        <v>178</v>
      </c>
      <c r="C228" s="498">
        <f>+VLOOKUP(B228,Product_IR,2,FALSE)</f>
        <v>6.2399999999999997E-2</v>
      </c>
      <c r="D228" s="434">
        <f t="shared" si="19"/>
        <v>0.1074</v>
      </c>
      <c r="E228" s="434">
        <f t="shared" si="17"/>
        <v>0.1074</v>
      </c>
      <c r="F228" s="551">
        <f>+Tables!G261</f>
        <v>33</v>
      </c>
      <c r="G228" s="44"/>
      <c r="H228" s="44"/>
      <c r="I228" s="695"/>
      <c r="J228" s="685"/>
      <c r="M228" s="685"/>
      <c r="N228" s="550"/>
      <c r="O228" s="550"/>
      <c r="P228" s="36"/>
    </row>
    <row r="229" spans="1:16" ht="12.75" customHeight="1" x14ac:dyDescent="0.2">
      <c r="A229" s="25" t="s">
        <v>179</v>
      </c>
      <c r="B229" s="25" t="s">
        <v>180</v>
      </c>
      <c r="C229" s="498">
        <f>+C228+E$131</f>
        <v>6.4399999999999999E-2</v>
      </c>
      <c r="D229" s="434">
        <f t="shared" si="19"/>
        <v>0.1074</v>
      </c>
      <c r="E229" s="434">
        <f t="shared" si="17"/>
        <v>0.1074</v>
      </c>
      <c r="F229" s="551">
        <f>+Tables!G262</f>
        <v>33</v>
      </c>
      <c r="G229" s="44"/>
      <c r="H229" s="44"/>
      <c r="I229" s="695"/>
      <c r="J229" s="685"/>
      <c r="M229" s="685"/>
      <c r="N229" s="550"/>
      <c r="O229" s="550"/>
      <c r="P229" s="36"/>
    </row>
    <row r="230" spans="1:16" ht="12.75" customHeight="1" x14ac:dyDescent="0.2">
      <c r="A230" s="25" t="s">
        <v>181</v>
      </c>
      <c r="B230" s="25" t="s">
        <v>182</v>
      </c>
      <c r="C230" s="498">
        <f>+VLOOKUP(B230,Product_IR,2,FALSE)</f>
        <v>6.4399999999999999E-2</v>
      </c>
      <c r="D230" s="434">
        <f t="shared" si="19"/>
        <v>0.1074</v>
      </c>
      <c r="E230" s="434">
        <f t="shared" si="17"/>
        <v>0.1074</v>
      </c>
      <c r="F230" s="551">
        <f>+Tables!G263</f>
        <v>33</v>
      </c>
      <c r="G230" s="44"/>
      <c r="H230" s="44"/>
      <c r="I230" s="695"/>
      <c r="J230" s="685"/>
      <c r="M230" s="685"/>
      <c r="N230" s="550"/>
      <c r="O230" s="550"/>
      <c r="P230" s="36"/>
    </row>
    <row r="231" spans="1:16" ht="12.75" customHeight="1" x14ac:dyDescent="0.2">
      <c r="A231" s="25" t="s">
        <v>183</v>
      </c>
      <c r="B231" s="25" t="s">
        <v>184</v>
      </c>
      <c r="C231" s="498">
        <f>+C230+E$131</f>
        <v>6.6400000000000001E-2</v>
      </c>
      <c r="D231" s="434">
        <f t="shared" si="19"/>
        <v>0.1074</v>
      </c>
      <c r="E231" s="434">
        <f t="shared" si="17"/>
        <v>0.1074</v>
      </c>
      <c r="F231" s="551">
        <f>+Tables!G264</f>
        <v>33</v>
      </c>
      <c r="G231" s="44"/>
      <c r="H231" s="44"/>
      <c r="I231" s="695"/>
      <c r="J231" s="685"/>
      <c r="M231" s="685"/>
      <c r="N231" s="550"/>
      <c r="O231" s="550"/>
      <c r="P231" s="36"/>
    </row>
    <row r="232" spans="1:16" ht="12.75" customHeight="1" x14ac:dyDescent="0.2">
      <c r="A232" s="25" t="s">
        <v>185</v>
      </c>
      <c r="B232" s="25" t="s">
        <v>186</v>
      </c>
      <c r="C232" s="498">
        <f>+VLOOKUP(B232,Product_IR,2,FALSE)</f>
        <v>6.1899999999999997E-2</v>
      </c>
      <c r="D232" s="434">
        <f t="shared" si="19"/>
        <v>0.1074</v>
      </c>
      <c r="E232" s="434">
        <f t="shared" si="17"/>
        <v>0.1074</v>
      </c>
      <c r="F232" s="551">
        <f>+Tables!G265</f>
        <v>33</v>
      </c>
      <c r="P232" s="36"/>
    </row>
    <row r="233" spans="1:16" ht="12.75" customHeight="1" x14ac:dyDescent="0.2">
      <c r="A233" s="25" t="s">
        <v>187</v>
      </c>
      <c r="B233" s="25" t="s">
        <v>188</v>
      </c>
      <c r="C233" s="498">
        <f>+C232+E$131</f>
        <v>6.3899999999999998E-2</v>
      </c>
      <c r="D233" s="434">
        <f t="shared" si="19"/>
        <v>0.1074</v>
      </c>
      <c r="E233" s="434">
        <f t="shared" si="17"/>
        <v>0.1074</v>
      </c>
      <c r="F233" s="551">
        <f>+Tables!G266</f>
        <v>33</v>
      </c>
      <c r="P233" s="36"/>
    </row>
    <row r="234" spans="1:16" ht="12.75" customHeight="1" x14ac:dyDescent="0.2">
      <c r="A234" s="25" t="s">
        <v>189</v>
      </c>
      <c r="B234" s="25" t="s">
        <v>190</v>
      </c>
      <c r="C234" s="498">
        <f>+VLOOKUP(B234,Product_IR,2,FALSE)</f>
        <v>6.8400000000000002E-2</v>
      </c>
      <c r="D234" s="434">
        <f t="shared" si="19"/>
        <v>0.1074</v>
      </c>
      <c r="E234" s="434">
        <f t="shared" si="17"/>
        <v>0.1074</v>
      </c>
      <c r="F234" s="551">
        <f>+Tables!G267</f>
        <v>33</v>
      </c>
      <c r="P234" s="36"/>
    </row>
    <row r="235" spans="1:16" ht="12.75" customHeight="1" x14ac:dyDescent="0.2">
      <c r="A235" s="25" t="s">
        <v>191</v>
      </c>
      <c r="B235" s="25" t="s">
        <v>192</v>
      </c>
      <c r="C235" s="498">
        <f>+VLOOKUP(B235,Product_IR,2,FALSE)</f>
        <v>7.0400000000000004E-2</v>
      </c>
      <c r="D235" s="434">
        <f t="shared" si="19"/>
        <v>0.1074</v>
      </c>
      <c r="E235" s="434">
        <f t="shared" si="17"/>
        <v>0.1074</v>
      </c>
      <c r="F235" s="551">
        <f>+Tables!G268</f>
        <v>33</v>
      </c>
      <c r="P235" s="36"/>
    </row>
    <row r="236" spans="1:16" ht="12.75" customHeight="1" x14ac:dyDescent="0.2">
      <c r="P236" s="36"/>
    </row>
    <row r="237" spans="1:16" ht="12.75" customHeight="1" x14ac:dyDescent="0.2">
      <c r="A237" s="20" t="s">
        <v>203</v>
      </c>
      <c r="B237" s="20"/>
      <c r="P237" s="36"/>
    </row>
    <row r="238" spans="1:16" ht="12.75" customHeight="1" x14ac:dyDescent="0.2">
      <c r="A238" s="18" t="s">
        <v>204</v>
      </c>
      <c r="B238" s="18"/>
      <c r="P238" s="36"/>
    </row>
    <row r="239" spans="1:16" ht="12.75" customHeight="1" x14ac:dyDescent="0.2">
      <c r="A239" s="18" t="s">
        <v>205</v>
      </c>
      <c r="B239" s="18"/>
    </row>
    <row r="240" spans="1:16" ht="12.75" customHeight="1" x14ac:dyDescent="0.2">
      <c r="A240" s="18" t="s">
        <v>206</v>
      </c>
      <c r="B240" s="18"/>
    </row>
    <row r="241" spans="1:21" ht="12.75" customHeight="1" x14ac:dyDescent="0.2">
      <c r="I241" s="366"/>
      <c r="J241" s="366"/>
      <c r="K241" s="366"/>
      <c r="L241" s="366"/>
      <c r="M241" s="366"/>
    </row>
    <row r="242" spans="1:21" ht="12.75" customHeight="1" x14ac:dyDescent="0.2">
      <c r="A242" s="20" t="s">
        <v>207</v>
      </c>
      <c r="B242" s="20"/>
      <c r="C242" s="19"/>
      <c r="E242" s="108" t="s">
        <v>208</v>
      </c>
      <c r="K242" s="366"/>
      <c r="L242" s="366"/>
      <c r="M242" s="366"/>
    </row>
    <row r="243" spans="1:21" ht="12.75" customHeight="1" x14ac:dyDescent="0.2">
      <c r="A243" s="37" t="s">
        <v>209</v>
      </c>
      <c r="B243" s="35" t="s">
        <v>210</v>
      </c>
      <c r="C243" s="37">
        <v>1</v>
      </c>
      <c r="E243" s="37" t="s">
        <v>209</v>
      </c>
      <c r="F243" s="35" t="s">
        <v>210</v>
      </c>
      <c r="G243" s="37">
        <v>1</v>
      </c>
      <c r="K243" s="366"/>
      <c r="L243" s="366"/>
      <c r="M243" s="366"/>
    </row>
    <row r="244" spans="1:21" ht="12.75" customHeight="1" x14ac:dyDescent="0.2">
      <c r="A244" s="37" t="s">
        <v>211</v>
      </c>
      <c r="B244" s="35" t="s">
        <v>212</v>
      </c>
      <c r="C244" s="37">
        <v>12</v>
      </c>
      <c r="E244" s="37" t="s">
        <v>213</v>
      </c>
      <c r="F244" s="35" t="s">
        <v>214</v>
      </c>
      <c r="G244" s="37">
        <v>2</v>
      </c>
      <c r="K244" s="30"/>
      <c r="L244" s="366"/>
      <c r="M244" s="366"/>
    </row>
    <row r="245" spans="1:21" ht="12.75" customHeight="1" x14ac:dyDescent="0.2">
      <c r="A245" s="37" t="s">
        <v>215</v>
      </c>
      <c r="B245" s="35" t="s">
        <v>216</v>
      </c>
      <c r="C245" s="37">
        <v>24</v>
      </c>
      <c r="E245" s="37" t="s">
        <v>217</v>
      </c>
      <c r="F245" s="35" t="s">
        <v>218</v>
      </c>
      <c r="G245" s="37">
        <v>4</v>
      </c>
      <c r="K245" s="30"/>
      <c r="L245" s="366"/>
      <c r="M245" s="366"/>
    </row>
    <row r="246" spans="1:21" ht="12.75" customHeight="1" x14ac:dyDescent="0.2">
      <c r="A246" s="37" t="s">
        <v>219</v>
      </c>
      <c r="B246" s="35" t="s">
        <v>220</v>
      </c>
      <c r="C246" s="37">
        <v>26</v>
      </c>
      <c r="E246" s="37" t="s">
        <v>211</v>
      </c>
      <c r="F246" s="35" t="s">
        <v>212</v>
      </c>
      <c r="G246" s="37">
        <v>12</v>
      </c>
      <c r="K246" s="366"/>
      <c r="L246" s="366"/>
      <c r="M246" s="366"/>
    </row>
    <row r="247" spans="1:21" ht="12.75" customHeight="1" x14ac:dyDescent="0.2">
      <c r="A247" s="37" t="s">
        <v>221</v>
      </c>
      <c r="B247" s="35" t="s">
        <v>222</v>
      </c>
      <c r="C247" s="37">
        <v>52</v>
      </c>
      <c r="E247" s="37" t="s">
        <v>215</v>
      </c>
      <c r="F247" s="35" t="s">
        <v>216</v>
      </c>
      <c r="G247" s="37">
        <v>24</v>
      </c>
      <c r="K247" s="366"/>
      <c r="L247" s="366"/>
      <c r="M247" s="366"/>
    </row>
    <row r="248" spans="1:21" ht="12.75" customHeight="1" x14ac:dyDescent="0.2">
      <c r="A248" s="18" t="s">
        <v>223</v>
      </c>
      <c r="B248" s="18"/>
      <c r="C248" s="19"/>
      <c r="E248" s="37" t="s">
        <v>219</v>
      </c>
      <c r="F248" s="35" t="s">
        <v>220</v>
      </c>
      <c r="G248" s="37">
        <v>26</v>
      </c>
      <c r="K248" s="366"/>
      <c r="L248" s="366"/>
      <c r="M248" s="366"/>
    </row>
    <row r="249" spans="1:21" ht="12.75" customHeight="1" x14ac:dyDescent="0.2">
      <c r="A249" s="18"/>
      <c r="B249" s="18"/>
      <c r="C249" s="19"/>
      <c r="E249" s="37" t="s">
        <v>221</v>
      </c>
      <c r="F249" s="35" t="s">
        <v>222</v>
      </c>
      <c r="G249" s="37">
        <v>52</v>
      </c>
      <c r="K249" s="366"/>
      <c r="L249" s="366"/>
      <c r="M249" s="366"/>
    </row>
    <row r="250" spans="1:21" ht="12.75" customHeight="1" x14ac:dyDescent="0.2">
      <c r="A250" s="34" t="s">
        <v>224</v>
      </c>
      <c r="B250" s="34" t="s">
        <v>13</v>
      </c>
      <c r="C250" s="108" t="s">
        <v>225</v>
      </c>
      <c r="D250" s="27" t="s">
        <v>226</v>
      </c>
      <c r="H250" s="109" t="s">
        <v>227</v>
      </c>
      <c r="J250" s="685"/>
      <c r="K250" s="685"/>
      <c r="L250" s="685"/>
      <c r="O250" s="45"/>
      <c r="P250" s="45"/>
      <c r="Q250" s="45"/>
    </row>
    <row r="251" spans="1:21" ht="12.75" customHeight="1" x14ac:dyDescent="0.2">
      <c r="A251" s="20" t="s">
        <v>228</v>
      </c>
      <c r="B251" s="84">
        <f>+Broker!C50</f>
        <v>0</v>
      </c>
      <c r="C251" s="27">
        <f>+Broker!J20</f>
        <v>0</v>
      </c>
      <c r="D251" s="19" t="str">
        <f>+CONCATENATE(Broker!J16,"+",Broker!J17)</f>
        <v>+</v>
      </c>
      <c r="E251" s="35" t="e">
        <f>+VLOOKUP(B251,A254:A267,1,TRUE)</f>
        <v>#N/A</v>
      </c>
      <c r="F251" s="35" t="e">
        <f>+VLOOKUP(E251,A254:B268,2,FALSE)</f>
        <v>#N/A</v>
      </c>
      <c r="G251" s="35" t="str">
        <f>+CONCATENATE(C251,D251)</f>
        <v>0+</v>
      </c>
      <c r="H251" s="114" t="e">
        <f>+VLOOKUP(G251,LIVING,F251,FALSE)*52/12</f>
        <v>#N/A</v>
      </c>
      <c r="J251" s="686"/>
      <c r="K251" s="686"/>
      <c r="L251" s="686"/>
      <c r="O251"/>
      <c r="P251"/>
      <c r="Q251"/>
      <c r="R251"/>
      <c r="S251"/>
      <c r="T251"/>
      <c r="U251"/>
    </row>
    <row r="252" spans="1:21" ht="12.75" customHeight="1" x14ac:dyDescent="0.2">
      <c r="A252" s="20"/>
      <c r="B252" s="84"/>
      <c r="C252" s="27"/>
      <c r="D252" s="19"/>
      <c r="H252" s="94"/>
      <c r="J252" s="686"/>
      <c r="K252" s="686"/>
      <c r="L252" s="686"/>
      <c r="O252"/>
      <c r="P252"/>
      <c r="Q252"/>
      <c r="R252"/>
      <c r="S252"/>
      <c r="T252"/>
      <c r="U252"/>
    </row>
    <row r="253" spans="1:21" ht="12.75" customHeight="1" x14ac:dyDescent="0.2">
      <c r="A253" s="45" t="s">
        <v>229</v>
      </c>
      <c r="B253" s="45"/>
      <c r="C253" s="37"/>
      <c r="E253" s="38"/>
      <c r="H253" s="41"/>
      <c r="I253" s="919"/>
      <c r="J253" s="919"/>
      <c r="K253" s="919"/>
      <c r="L253" s="919"/>
    </row>
    <row r="254" spans="1:21" ht="12.75" customHeight="1" x14ac:dyDescent="0.2">
      <c r="A254" s="139">
        <f>+Tables!A287</f>
        <v>1</v>
      </c>
      <c r="B254" s="37">
        <v>2</v>
      </c>
      <c r="C254" s="37" t="s">
        <v>230</v>
      </c>
      <c r="E254" s="38"/>
      <c r="H254" s="41"/>
      <c r="I254" s="112"/>
      <c r="J254" s="687"/>
      <c r="K254" s="112"/>
      <c r="L254" s="687"/>
    </row>
    <row r="255" spans="1:21" ht="12.75" customHeight="1" x14ac:dyDescent="0.2">
      <c r="A255" s="139">
        <f>+Tables!A288</f>
        <v>27000</v>
      </c>
      <c r="B255" s="37">
        <v>3</v>
      </c>
      <c r="C255" s="37" t="s">
        <v>231</v>
      </c>
      <c r="E255" s="38"/>
      <c r="H255" s="41"/>
      <c r="I255" s="687"/>
      <c r="J255" s="687"/>
      <c r="K255" s="687"/>
      <c r="L255" s="687"/>
    </row>
    <row r="256" spans="1:21" ht="12.75" customHeight="1" x14ac:dyDescent="0.2">
      <c r="A256" s="139">
        <f>+Tables!A289</f>
        <v>41000</v>
      </c>
      <c r="B256" s="37">
        <v>4</v>
      </c>
      <c r="C256" s="37" t="s">
        <v>232</v>
      </c>
      <c r="E256" s="38"/>
      <c r="H256" s="41"/>
      <c r="I256" s="687"/>
      <c r="J256" s="687"/>
      <c r="K256" s="687"/>
      <c r="L256" s="687"/>
    </row>
    <row r="257" spans="1:12" ht="12.75" customHeight="1" x14ac:dyDescent="0.2">
      <c r="A257" s="139">
        <f>+Tables!A290</f>
        <v>54000</v>
      </c>
      <c r="B257" s="37">
        <v>5</v>
      </c>
      <c r="C257" s="37" t="s">
        <v>233</v>
      </c>
      <c r="E257" s="38"/>
      <c r="H257" s="41"/>
      <c r="I257" s="687"/>
      <c r="J257" s="687"/>
      <c r="K257" s="687"/>
      <c r="L257" s="687"/>
    </row>
    <row r="258" spans="1:12" ht="12.75" customHeight="1" x14ac:dyDescent="0.2">
      <c r="A258" s="139">
        <f>+Tables!A291</f>
        <v>68000</v>
      </c>
      <c r="B258" s="37">
        <v>6</v>
      </c>
      <c r="C258" s="37" t="s">
        <v>234</v>
      </c>
      <c r="E258" s="38"/>
      <c r="H258" s="41"/>
      <c r="I258" s="687"/>
      <c r="J258" s="687"/>
      <c r="K258" s="687"/>
      <c r="L258" s="687"/>
    </row>
    <row r="259" spans="1:12" ht="12.75" customHeight="1" x14ac:dyDescent="0.2">
      <c r="A259" s="139">
        <f>+Tables!A292</f>
        <v>82000</v>
      </c>
      <c r="B259" s="37">
        <v>7</v>
      </c>
      <c r="C259" s="37" t="s">
        <v>235</v>
      </c>
      <c r="E259" s="38"/>
      <c r="H259" s="41"/>
      <c r="I259" s="687"/>
      <c r="J259" s="687"/>
      <c r="K259" s="687"/>
      <c r="L259" s="687"/>
    </row>
    <row r="260" spans="1:12" ht="12.75" customHeight="1" x14ac:dyDescent="0.2">
      <c r="A260" s="139">
        <f>+Tables!A293</f>
        <v>109000</v>
      </c>
      <c r="B260" s="37">
        <v>8</v>
      </c>
      <c r="C260" s="37" t="s">
        <v>236</v>
      </c>
      <c r="E260" s="38"/>
    </row>
    <row r="261" spans="1:12" ht="12.75" customHeight="1" x14ac:dyDescent="0.2">
      <c r="A261" s="139">
        <f>+Tables!A294</f>
        <v>136000</v>
      </c>
      <c r="B261" s="37">
        <v>9</v>
      </c>
      <c r="C261" s="37" t="s">
        <v>237</v>
      </c>
      <c r="E261" s="38"/>
    </row>
    <row r="262" spans="1:12" ht="12.75" customHeight="1" x14ac:dyDescent="0.2">
      <c r="A262" s="139">
        <f>+Tables!A295</f>
        <v>163000</v>
      </c>
      <c r="B262" s="37">
        <v>10</v>
      </c>
      <c r="C262" s="37" t="s">
        <v>238</v>
      </c>
      <c r="E262" s="38"/>
    </row>
    <row r="263" spans="1:12" ht="12.75" customHeight="1" x14ac:dyDescent="0.2">
      <c r="A263" s="139">
        <f>+Tables!A296</f>
        <v>191000</v>
      </c>
      <c r="B263" s="37">
        <v>11</v>
      </c>
      <c r="C263" s="37" t="s">
        <v>239</v>
      </c>
      <c r="E263" s="38"/>
    </row>
    <row r="264" spans="1:12" ht="12.75" customHeight="1" x14ac:dyDescent="0.2">
      <c r="A264" s="139">
        <f>+Tables!A297</f>
        <v>218000</v>
      </c>
      <c r="B264" s="37">
        <v>12</v>
      </c>
      <c r="C264" s="37" t="s">
        <v>240</v>
      </c>
      <c r="E264" s="38"/>
    </row>
    <row r="265" spans="1:12" ht="12.75" customHeight="1" x14ac:dyDescent="0.2">
      <c r="A265" s="139">
        <f>+Tables!A298</f>
        <v>272000</v>
      </c>
      <c r="B265" s="37">
        <v>13</v>
      </c>
      <c r="C265" s="37" t="s">
        <v>241</v>
      </c>
    </row>
    <row r="266" spans="1:12" ht="12.75" customHeight="1" x14ac:dyDescent="0.2">
      <c r="A266" s="139">
        <f>+Tables!A299</f>
        <v>341000</v>
      </c>
      <c r="B266" s="37">
        <v>14</v>
      </c>
      <c r="C266" s="37" t="s">
        <v>242</v>
      </c>
    </row>
    <row r="267" spans="1:12" ht="12.75" customHeight="1" x14ac:dyDescent="0.2">
      <c r="A267" s="139">
        <f>+Tables!A300</f>
        <v>409000</v>
      </c>
      <c r="B267" s="37">
        <v>15</v>
      </c>
      <c r="C267" s="37" t="s">
        <v>243</v>
      </c>
    </row>
    <row r="268" spans="1:12" ht="12.75" customHeight="1" x14ac:dyDescent="0.2">
      <c r="A268" s="148"/>
    </row>
    <row r="271" spans="1:12" ht="12.75" customHeight="1" x14ac:dyDescent="0.2">
      <c r="A271" s="20" t="s">
        <v>244</v>
      </c>
      <c r="B271" s="20"/>
      <c r="H271" s="106"/>
      <c r="I271" s="688"/>
    </row>
    <row r="272" spans="1:12" ht="12.75" customHeight="1" x14ac:dyDescent="0.2">
      <c r="A272" s="135">
        <f>+Tables!A305</f>
        <v>18200</v>
      </c>
      <c r="B272" s="133">
        <f>+Tables!B305</f>
        <v>0</v>
      </c>
      <c r="C272" s="136">
        <f>+Tables!C305</f>
        <v>0</v>
      </c>
      <c r="D272" s="19"/>
      <c r="H272" s="103"/>
      <c r="I272" s="696"/>
    </row>
    <row r="273" spans="1:12" ht="12.75" customHeight="1" x14ac:dyDescent="0.2">
      <c r="A273" s="135">
        <f>+Tables!A306</f>
        <v>45000</v>
      </c>
      <c r="B273" s="133">
        <f>+Tables!B306</f>
        <v>0.16</v>
      </c>
      <c r="C273" s="136">
        <f>+Tables!C306</f>
        <v>4288</v>
      </c>
      <c r="D273" s="19"/>
      <c r="H273" s="104"/>
      <c r="I273" s="166"/>
    </row>
    <row r="274" spans="1:12" ht="12.75" customHeight="1" x14ac:dyDescent="0.2">
      <c r="A274" s="135">
        <f>+Tables!A307</f>
        <v>135000</v>
      </c>
      <c r="B274" s="133">
        <f>+Tables!B307</f>
        <v>0.3</v>
      </c>
      <c r="C274" s="136">
        <f>+Tables!C307</f>
        <v>31288</v>
      </c>
      <c r="D274" s="19"/>
      <c r="H274" s="104"/>
      <c r="I274" s="696"/>
    </row>
    <row r="275" spans="1:12" ht="12.75" customHeight="1" x14ac:dyDescent="0.2">
      <c r="A275" s="135">
        <f>+Tables!A308</f>
        <v>190000</v>
      </c>
      <c r="B275" s="133">
        <f>+Tables!B308</f>
        <v>0.37</v>
      </c>
      <c r="C275" s="136">
        <f>+Tables!C308</f>
        <v>51638</v>
      </c>
      <c r="D275" s="19"/>
      <c r="H275" s="104"/>
      <c r="I275" s="696"/>
    </row>
    <row r="276" spans="1:12" ht="12.75" customHeight="1" x14ac:dyDescent="0.2">
      <c r="A276" s="137"/>
      <c r="B276" s="133">
        <f>+Tables!B309</f>
        <v>0.45</v>
      </c>
      <c r="C276" s="136">
        <f>+Tables!C309</f>
        <v>0</v>
      </c>
      <c r="D276" s="19"/>
      <c r="E276" s="19"/>
      <c r="H276" s="104"/>
      <c r="I276" s="696"/>
      <c r="J276" s="366"/>
    </row>
    <row r="277" spans="1:12" ht="12.75" customHeight="1" x14ac:dyDescent="0.2">
      <c r="A277" s="29" t="s">
        <v>91</v>
      </c>
      <c r="B277" s="29"/>
      <c r="C277" s="19"/>
      <c r="D277" s="19"/>
      <c r="E277" s="19"/>
      <c r="H277" s="104"/>
      <c r="I277" s="696"/>
      <c r="J277" s="366"/>
    </row>
    <row r="278" spans="1:12" ht="12.75" customHeight="1" x14ac:dyDescent="0.2">
      <c r="A278" s="28" t="s">
        <v>245</v>
      </c>
      <c r="B278" s="134">
        <f>+Tables!B311</f>
        <v>0.02</v>
      </c>
      <c r="C278" s="134">
        <f>+Tables!C311</f>
        <v>0</v>
      </c>
      <c r="E278" s="19"/>
      <c r="H278" s="105"/>
      <c r="I278" s="688"/>
      <c r="J278" s="366"/>
    </row>
    <row r="279" spans="1:12" ht="12.75" customHeight="1" x14ac:dyDescent="0.2">
      <c r="A279" s="28" t="s">
        <v>246</v>
      </c>
      <c r="B279" s="35"/>
      <c r="C279" s="19"/>
      <c r="E279" s="19"/>
      <c r="H279" s="105"/>
      <c r="I279" s="688"/>
      <c r="J279" s="366"/>
    </row>
    <row r="280" spans="1:12" ht="12.75" customHeight="1" x14ac:dyDescent="0.2">
      <c r="A280" s="28" t="s">
        <v>74</v>
      </c>
      <c r="B280" s="133">
        <f>+Tables!B313</f>
        <v>27222</v>
      </c>
      <c r="C280" s="19"/>
      <c r="E280" s="19"/>
      <c r="H280" s="43"/>
      <c r="I280" s="112"/>
    </row>
    <row r="281" spans="1:12" ht="12.75" customHeight="1" x14ac:dyDescent="0.2">
      <c r="A281" s="28" t="s">
        <v>75</v>
      </c>
      <c r="B281" s="133">
        <f>+Tables!B314</f>
        <v>34027</v>
      </c>
      <c r="C281" s="19"/>
      <c r="E281" s="19"/>
      <c r="H281" s="106"/>
      <c r="I281" s="697"/>
    </row>
    <row r="282" spans="1:12" ht="12.75" customHeight="1" x14ac:dyDescent="0.2">
      <c r="H282" s="102"/>
      <c r="I282" s="697"/>
    </row>
    <row r="283" spans="1:12" ht="12.75" customHeight="1" x14ac:dyDescent="0.2">
      <c r="A283" s="29" t="s">
        <v>247</v>
      </c>
      <c r="C283" s="35" t="str">
        <f>+Broker!J18</f>
        <v>Yes</v>
      </c>
      <c r="D283" s="45">
        <f>IF(C283="yes",0,IF(C283="N/A",0,+(C285*F285)+(E284*D285)))</f>
        <v>0</v>
      </c>
      <c r="H283" s="102"/>
      <c r="I283" s="697"/>
    </row>
    <row r="284" spans="1:12" ht="12.75" customHeight="1" x14ac:dyDescent="0.2">
      <c r="D284" s="35" t="s">
        <v>248</v>
      </c>
      <c r="E284" s="117">
        <f>+IF(Broker!J17=0,0,IF(Broker!J17=1,0,Broker!J17-1))</f>
        <v>0</v>
      </c>
      <c r="H284" s="42"/>
    </row>
    <row r="285" spans="1:12" ht="12.75" customHeight="1" x14ac:dyDescent="0.2">
      <c r="A285" s="37" t="s">
        <v>249</v>
      </c>
      <c r="B285" s="37" t="str">
        <f>+IF(D251="1+0","Single","Family")</f>
        <v>Family</v>
      </c>
      <c r="C285" s="45">
        <f>+B251</f>
        <v>0</v>
      </c>
      <c r="D285" s="133">
        <f>+Tables!D318</f>
        <v>1500</v>
      </c>
      <c r="E285" s="35" t="e">
        <f>+IF(B285="single",VLOOKUP(C285,A287:A291,1,TRUE),IF(B285="Family",VLOOKUP(C285,A294:A298,1,TRUE),0))</f>
        <v>#N/A</v>
      </c>
      <c r="F285" s="32" t="e">
        <f>+IF(B285="single",VLOOKUP(E285,A287:B291,2,TRUE),IF(B285="Family",VLOOKUP(E285,A294:B298,2,TRUE),0))</f>
        <v>#N/A</v>
      </c>
      <c r="H285" s="165"/>
      <c r="I285" s="688"/>
      <c r="J285" s="688"/>
      <c r="K285" s="688"/>
      <c r="L285" s="688"/>
    </row>
    <row r="286" spans="1:12" ht="12.75" customHeight="1" x14ac:dyDescent="0.2">
      <c r="A286" s="37" t="s">
        <v>250</v>
      </c>
      <c r="B286" s="35"/>
      <c r="H286" s="920"/>
      <c r="I286" s="921"/>
      <c r="J286" s="921"/>
      <c r="K286" s="921"/>
      <c r="L286" s="921"/>
    </row>
    <row r="287" spans="1:12" ht="12.75" customHeight="1" x14ac:dyDescent="0.2">
      <c r="A287" s="135">
        <f>+Tables!A320</f>
        <v>1</v>
      </c>
      <c r="B287" s="143">
        <f>+Tables!B320</f>
        <v>0</v>
      </c>
      <c r="C287" s="170"/>
      <c r="H287" s="104"/>
      <c r="I287" s="166"/>
      <c r="J287" s="166"/>
      <c r="K287" s="166"/>
      <c r="L287" s="166"/>
    </row>
    <row r="288" spans="1:12" ht="12.75" customHeight="1" x14ac:dyDescent="0.2">
      <c r="A288" s="135">
        <f>+Tables!A321</f>
        <v>101000</v>
      </c>
      <c r="B288" s="143">
        <f>+Tables!B321</f>
        <v>0</v>
      </c>
      <c r="C288" s="170"/>
      <c r="H288" s="103"/>
      <c r="I288" s="166"/>
      <c r="J288" s="166"/>
      <c r="K288" s="166"/>
      <c r="L288" s="166"/>
    </row>
    <row r="289" spans="1:15" ht="12.75" customHeight="1" x14ac:dyDescent="0.2">
      <c r="A289" s="135">
        <f>+Tables!A322</f>
        <v>101001</v>
      </c>
      <c r="B289" s="143">
        <f>+Tables!B322</f>
        <v>0.01</v>
      </c>
      <c r="C289" s="170"/>
      <c r="H289" s="103"/>
      <c r="I289" s="166"/>
      <c r="J289" s="166"/>
      <c r="K289" s="166"/>
      <c r="L289" s="166"/>
    </row>
    <row r="290" spans="1:15" ht="12.75" customHeight="1" x14ac:dyDescent="0.2">
      <c r="A290" s="135">
        <f>+Tables!A323</f>
        <v>118001</v>
      </c>
      <c r="B290" s="143">
        <f>+Tables!B323</f>
        <v>1.2500000000000001E-2</v>
      </c>
      <c r="C290" s="170"/>
      <c r="H290" s="103"/>
      <c r="I290" s="167"/>
      <c r="J290" s="167"/>
      <c r="K290" s="168"/>
      <c r="L290" s="168"/>
    </row>
    <row r="291" spans="1:15" ht="12.75" customHeight="1" x14ac:dyDescent="0.2">
      <c r="A291" s="135">
        <f>+Tables!A324</f>
        <v>158001</v>
      </c>
      <c r="B291" s="143">
        <f>+Tables!B324</f>
        <v>1.4999999999999999E-2</v>
      </c>
      <c r="C291" s="170"/>
      <c r="H291" s="169"/>
      <c r="I291" s="688"/>
      <c r="J291" s="688"/>
      <c r="K291" s="688"/>
      <c r="L291" s="688"/>
    </row>
    <row r="292" spans="1:15" ht="12.75" customHeight="1" x14ac:dyDescent="0.2">
      <c r="G292" s="19"/>
      <c r="H292" s="101"/>
      <c r="I292" s="697"/>
      <c r="J292" s="366"/>
      <c r="K292" s="366"/>
      <c r="L292" s="366"/>
      <c r="M292" s="366"/>
      <c r="N292" s="19"/>
      <c r="O292" s="19"/>
    </row>
    <row r="293" spans="1:15" ht="12.75" customHeight="1" x14ac:dyDescent="0.2">
      <c r="A293" s="37" t="s">
        <v>226</v>
      </c>
      <c r="G293" s="19"/>
      <c r="H293" s="101"/>
      <c r="I293" s="697"/>
      <c r="J293" s="366"/>
      <c r="K293" s="366"/>
      <c r="L293" s="366"/>
      <c r="M293" s="366"/>
      <c r="N293" s="19"/>
      <c r="O293" s="19"/>
    </row>
    <row r="294" spans="1:15" ht="12.75" customHeight="1" x14ac:dyDescent="0.2">
      <c r="A294" s="135">
        <f>+Tables!A327</f>
        <v>1</v>
      </c>
      <c r="B294" s="143">
        <f>+Tables!B327</f>
        <v>0</v>
      </c>
      <c r="C294" s="170"/>
      <c r="D294" s="170"/>
      <c r="G294" s="19"/>
      <c r="H294" s="102"/>
      <c r="I294" s="686"/>
      <c r="J294" s="366"/>
      <c r="K294" s="366"/>
      <c r="L294" s="366"/>
      <c r="M294" s="366"/>
      <c r="N294" s="19"/>
      <c r="O294" s="19"/>
    </row>
    <row r="295" spans="1:15" ht="12.75" customHeight="1" x14ac:dyDescent="0.2">
      <c r="A295" s="135">
        <f>+Tables!A328</f>
        <v>202000</v>
      </c>
      <c r="B295" s="143">
        <f>+Tables!B328</f>
        <v>0</v>
      </c>
      <c r="C295" s="170"/>
      <c r="D295" s="170"/>
      <c r="G295" s="19"/>
      <c r="H295" s="102"/>
      <c r="I295" s="686"/>
      <c r="J295" s="366"/>
      <c r="K295" s="366"/>
      <c r="L295" s="366"/>
      <c r="M295" s="366"/>
      <c r="N295" s="19"/>
      <c r="O295" s="19"/>
    </row>
    <row r="296" spans="1:15" ht="12.75" customHeight="1" x14ac:dyDescent="0.2">
      <c r="A296" s="135">
        <f>+Tables!A329</f>
        <v>202001</v>
      </c>
      <c r="B296" s="143">
        <f>+Tables!B329</f>
        <v>0.01</v>
      </c>
      <c r="C296" s="170"/>
      <c r="D296" s="170"/>
      <c r="G296" s="19"/>
      <c r="H296" s="19"/>
      <c r="I296" s="366"/>
      <c r="J296" s="366"/>
      <c r="K296" s="366"/>
      <c r="L296" s="366"/>
      <c r="M296" s="366"/>
      <c r="N296" s="19"/>
      <c r="O296" s="19"/>
    </row>
    <row r="297" spans="1:15" ht="12.75" customHeight="1" x14ac:dyDescent="0.2">
      <c r="A297" s="135">
        <f>+Tables!A330</f>
        <v>236001</v>
      </c>
      <c r="B297" s="143">
        <f>+Tables!B330</f>
        <v>1.2500000000000001E-2</v>
      </c>
      <c r="C297" s="170"/>
      <c r="D297" s="170"/>
      <c r="G297" s="19"/>
      <c r="H297" s="19"/>
      <c r="I297" s="366"/>
      <c r="J297" s="366"/>
      <c r="K297" s="366"/>
      <c r="L297" s="366"/>
      <c r="M297" s="366"/>
      <c r="N297" s="19"/>
      <c r="O297" s="19"/>
    </row>
    <row r="298" spans="1:15" ht="12.75" customHeight="1" x14ac:dyDescent="0.2">
      <c r="A298" s="135">
        <f>+Tables!A331</f>
        <v>316001</v>
      </c>
      <c r="B298" s="143">
        <f>+Tables!B331</f>
        <v>1.4999999999999999E-2</v>
      </c>
      <c r="C298" s="170"/>
      <c r="D298" s="170"/>
      <c r="G298" s="19"/>
      <c r="H298" s="19"/>
      <c r="I298" s="366"/>
      <c r="J298" s="366"/>
      <c r="K298" s="366"/>
      <c r="L298" s="366"/>
      <c r="M298" s="366"/>
      <c r="N298" s="19"/>
      <c r="O298" s="19"/>
    </row>
    <row r="299" spans="1:15" ht="12.75" customHeight="1" x14ac:dyDescent="0.2">
      <c r="F299" s="19"/>
      <c r="G299" s="19"/>
      <c r="H299" s="19"/>
      <c r="I299" s="366"/>
      <c r="J299" s="366"/>
      <c r="K299" s="366"/>
      <c r="L299" s="366"/>
      <c r="M299" s="366"/>
      <c r="N299" s="19"/>
      <c r="O299" s="19"/>
    </row>
    <row r="300" spans="1:15" ht="12.75" customHeight="1" x14ac:dyDescent="0.2">
      <c r="A300" s="34" t="s">
        <v>5</v>
      </c>
      <c r="B300" s="34"/>
      <c r="F300" s="19"/>
      <c r="G300" s="19"/>
      <c r="H300" s="19"/>
      <c r="I300" s="366"/>
      <c r="J300" s="366"/>
      <c r="N300" s="19"/>
      <c r="O300" s="19"/>
    </row>
    <row r="301" spans="1:15" ht="12.75" customHeight="1" x14ac:dyDescent="0.2">
      <c r="A301" s="18" t="s">
        <v>251</v>
      </c>
      <c r="B301" s="18"/>
      <c r="C301" s="35" t="s">
        <v>11</v>
      </c>
      <c r="F301" s="19"/>
      <c r="G301" s="19"/>
      <c r="H301" s="19"/>
      <c r="I301" s="366"/>
      <c r="J301" s="366"/>
      <c r="N301" s="19"/>
      <c r="O301" s="19"/>
    </row>
    <row r="302" spans="1:15" ht="12.75" customHeight="1" x14ac:dyDescent="0.2">
      <c r="A302" s="18" t="s">
        <v>252</v>
      </c>
      <c r="B302" s="18"/>
      <c r="C302" s="35" t="s">
        <v>12</v>
      </c>
      <c r="F302" s="19"/>
      <c r="G302" s="19"/>
      <c r="H302" s="19"/>
      <c r="I302" s="366"/>
      <c r="J302" s="366"/>
      <c r="N302" s="19"/>
      <c r="O302" s="19"/>
    </row>
    <row r="303" spans="1:15" ht="12.75" customHeight="1" x14ac:dyDescent="0.2">
      <c r="A303" s="18" t="s">
        <v>253</v>
      </c>
      <c r="B303" s="18"/>
      <c r="F303" s="19"/>
      <c r="G303" s="19"/>
      <c r="H303" s="19"/>
      <c r="I303" s="366"/>
      <c r="J303" s="366"/>
      <c r="N303" s="19"/>
      <c r="O303" s="19"/>
    </row>
    <row r="304" spans="1:15" ht="12.75" customHeight="1" x14ac:dyDescent="0.2">
      <c r="A304" s="18" t="s">
        <v>254</v>
      </c>
      <c r="B304" s="18"/>
      <c r="F304" s="19"/>
      <c r="G304" s="19"/>
      <c r="H304" s="19"/>
      <c r="I304" s="366"/>
      <c r="J304" s="366"/>
      <c r="N304" s="19"/>
      <c r="O304" s="19"/>
    </row>
    <row r="305" spans="1:15" ht="12.75" customHeight="1" x14ac:dyDescent="0.2">
      <c r="A305" s="18" t="s">
        <v>255</v>
      </c>
      <c r="B305" s="18"/>
      <c r="F305" s="19"/>
      <c r="G305" s="19"/>
      <c r="H305" s="19"/>
      <c r="I305" s="366"/>
      <c r="J305" s="366"/>
      <c r="N305" s="19"/>
      <c r="O305" s="19"/>
    </row>
    <row r="306" spans="1:15" ht="12.75" customHeight="1" x14ac:dyDescent="0.2">
      <c r="F306" s="19"/>
      <c r="G306" s="19"/>
      <c r="H306" s="19"/>
      <c r="I306" s="366"/>
      <c r="J306" s="366"/>
      <c r="N306" s="19"/>
      <c r="O306" s="19"/>
    </row>
    <row r="307" spans="1:15" ht="12.75" customHeight="1" x14ac:dyDescent="0.2">
      <c r="A307" s="20" t="s">
        <v>256</v>
      </c>
      <c r="B307" s="20"/>
      <c r="F307" s="19"/>
      <c r="G307" s="19"/>
      <c r="H307" s="19"/>
      <c r="I307" s="366"/>
      <c r="J307" s="366"/>
      <c r="N307" s="19"/>
      <c r="O307" s="19"/>
    </row>
    <row r="308" spans="1:15" ht="12.75" customHeight="1" x14ac:dyDescent="0.2">
      <c r="A308" s="18" t="s">
        <v>257</v>
      </c>
      <c r="B308" s="18"/>
      <c r="C308" s="30">
        <v>0.5</v>
      </c>
      <c r="D308" s="19"/>
      <c r="E308" s="19"/>
      <c r="F308" s="19"/>
      <c r="G308" s="19"/>
      <c r="H308" s="19"/>
      <c r="I308" s="366"/>
      <c r="J308" s="366"/>
      <c r="N308" s="19"/>
      <c r="O308" s="19"/>
    </row>
    <row r="309" spans="1:15" ht="12.75" customHeight="1" x14ac:dyDescent="0.2">
      <c r="A309" s="18" t="s">
        <v>258</v>
      </c>
      <c r="B309" s="18"/>
      <c r="C309" s="30">
        <v>0.8</v>
      </c>
      <c r="D309" s="19"/>
      <c r="E309" s="19"/>
      <c r="F309" s="19"/>
      <c r="G309" s="19"/>
      <c r="H309" s="19"/>
      <c r="I309" s="366"/>
      <c r="J309" s="366"/>
      <c r="N309" s="19"/>
      <c r="O309" s="19"/>
    </row>
    <row r="310" spans="1:15" ht="12.75" customHeight="1" x14ac:dyDescent="0.2">
      <c r="A310" s="18"/>
      <c r="B310" s="18"/>
      <c r="C310" s="366"/>
      <c r="D310" s="19"/>
      <c r="E310" s="19"/>
      <c r="F310" s="19"/>
      <c r="G310" s="19"/>
      <c r="H310" s="19"/>
      <c r="I310" s="366"/>
      <c r="J310" s="366"/>
      <c r="N310" s="19"/>
      <c r="O310" s="19"/>
    </row>
    <row r="311" spans="1:15" ht="12.75" customHeight="1" x14ac:dyDescent="0.2">
      <c r="A311" s="20" t="s">
        <v>26</v>
      </c>
      <c r="B311" s="20"/>
      <c r="C311" s="366"/>
      <c r="D311" s="19"/>
      <c r="E311" s="19"/>
      <c r="F311" s="19"/>
      <c r="G311" s="19"/>
      <c r="H311" s="32"/>
      <c r="I311" s="698"/>
      <c r="J311" s="366"/>
      <c r="K311" s="366"/>
      <c r="N311" s="19"/>
      <c r="O311" s="19"/>
    </row>
    <row r="312" spans="1:15" ht="12.75" customHeight="1" x14ac:dyDescent="0.2">
      <c r="A312" s="18" t="s">
        <v>259</v>
      </c>
      <c r="B312" s="18"/>
      <c r="C312" s="30">
        <v>0.8</v>
      </c>
      <c r="D312" s="19"/>
      <c r="E312" s="19"/>
      <c r="F312" s="19"/>
      <c r="G312" s="38"/>
      <c r="H312" s="32"/>
      <c r="I312" s="698"/>
      <c r="J312" s="366"/>
      <c r="K312" s="366"/>
      <c r="N312" s="19"/>
      <c r="O312" s="19"/>
    </row>
    <row r="313" spans="1:15" ht="12.75" customHeight="1" x14ac:dyDescent="0.2">
      <c r="A313" s="18" t="s">
        <v>260</v>
      </c>
      <c r="B313" s="18"/>
      <c r="C313" s="30">
        <v>1</v>
      </c>
      <c r="D313" s="19"/>
      <c r="E313" s="19"/>
      <c r="F313" s="19"/>
      <c r="G313" s="38"/>
      <c r="H313" s="32"/>
      <c r="I313" s="698"/>
      <c r="J313" s="689"/>
      <c r="K313" s="689"/>
      <c r="L313" s="366"/>
      <c r="N313" s="19"/>
      <c r="O313" s="19"/>
    </row>
    <row r="314" spans="1:15" ht="12.75" customHeight="1" x14ac:dyDescent="0.2">
      <c r="A314" s="18"/>
      <c r="B314" s="18"/>
      <c r="C314" s="366"/>
      <c r="D314" s="19"/>
      <c r="E314" s="19"/>
      <c r="F314" s="19"/>
      <c r="G314" s="38"/>
      <c r="H314" s="32"/>
      <c r="I314" s="698"/>
      <c r="J314" s="689"/>
      <c r="K314" s="689"/>
      <c r="L314" s="366"/>
      <c r="N314" s="19"/>
      <c r="O314" s="19"/>
    </row>
    <row r="315" spans="1:15" ht="12.75" customHeight="1" x14ac:dyDescent="0.2">
      <c r="A315" s="20" t="s">
        <v>261</v>
      </c>
      <c r="B315" s="20"/>
      <c r="C315" s="366"/>
      <c r="D315" s="19"/>
      <c r="E315" s="19"/>
      <c r="F315" s="19"/>
      <c r="G315" s="38"/>
      <c r="H315" s="32"/>
      <c r="I315" s="698"/>
      <c r="J315" s="689"/>
      <c r="K315" s="689"/>
      <c r="L315" s="366"/>
      <c r="N315" s="19"/>
      <c r="O315" s="19"/>
    </row>
    <row r="316" spans="1:15" ht="12.75" customHeight="1" x14ac:dyDescent="0.2">
      <c r="A316" s="18"/>
      <c r="B316" s="18"/>
      <c r="C316" s="366" t="s">
        <v>262</v>
      </c>
      <c r="D316" s="366" t="s">
        <v>262</v>
      </c>
      <c r="E316" s="366" t="s">
        <v>262</v>
      </c>
      <c r="F316" s="19"/>
      <c r="G316" s="38"/>
      <c r="H316" s="32"/>
      <c r="I316" s="698"/>
      <c r="J316" s="689"/>
      <c r="K316" s="689"/>
      <c r="L316" s="366"/>
      <c r="N316" s="19"/>
      <c r="O316" s="19"/>
    </row>
    <row r="317" spans="1:15" ht="12.75" customHeight="1" x14ac:dyDescent="0.2">
      <c r="A317" s="18"/>
      <c r="B317" s="18"/>
      <c r="C317" s="30">
        <v>0.5</v>
      </c>
      <c r="D317" s="19" t="s">
        <v>263</v>
      </c>
      <c r="E317" s="19"/>
      <c r="F317" s="19"/>
      <c r="G317" s="38"/>
      <c r="H317" s="32"/>
      <c r="I317" s="698"/>
      <c r="J317" s="689"/>
      <c r="K317" s="689"/>
      <c r="L317" s="366"/>
      <c r="N317" s="19"/>
      <c r="O317" s="19"/>
    </row>
    <row r="318" spans="1:15" ht="12.75" customHeight="1" x14ac:dyDescent="0.2">
      <c r="A318" s="18"/>
      <c r="B318" s="18"/>
      <c r="C318" s="30"/>
      <c r="D318" s="19"/>
      <c r="E318" s="19"/>
      <c r="G318" s="38"/>
      <c r="H318" s="32"/>
      <c r="I318" s="698"/>
      <c r="J318" s="689"/>
      <c r="K318" s="689"/>
      <c r="L318" s="366"/>
      <c r="N318" s="19"/>
      <c r="O318" s="19"/>
    </row>
    <row r="319" spans="1:15" ht="12.75" customHeight="1" x14ac:dyDescent="0.2">
      <c r="A319" s="20" t="s">
        <v>264</v>
      </c>
      <c r="B319" s="18"/>
      <c r="C319" s="132">
        <f>+Tables!C376</f>
        <v>500</v>
      </c>
      <c r="D319" s="19"/>
      <c r="E319" s="19"/>
      <c r="G319" s="38"/>
      <c r="H319" s="32"/>
      <c r="I319" s="698"/>
      <c r="J319" s="689"/>
      <c r="K319" s="689"/>
      <c r="L319" s="366"/>
      <c r="N319" s="19"/>
      <c r="O319" s="19"/>
    </row>
    <row r="320" spans="1:15" ht="12.75" customHeight="1" x14ac:dyDescent="0.2">
      <c r="A320" s="18"/>
      <c r="B320" s="18"/>
      <c r="C320" s="30"/>
      <c r="D320" s="19"/>
      <c r="E320" s="19"/>
      <c r="G320" s="38"/>
      <c r="H320" s="32"/>
      <c r="I320" s="698"/>
      <c r="J320" s="689"/>
      <c r="K320" s="689"/>
      <c r="L320" s="366"/>
      <c r="N320" s="19"/>
      <c r="O320" s="19"/>
    </row>
    <row r="321" spans="1:15" ht="12.75" customHeight="1" x14ac:dyDescent="0.2">
      <c r="A321" s="20" t="s">
        <v>265</v>
      </c>
      <c r="B321" s="20"/>
      <c r="C321" s="30"/>
      <c r="D321" s="19"/>
      <c r="E321" s="19"/>
      <c r="F321" s="39"/>
      <c r="G321" s="38"/>
      <c r="H321" s="32"/>
      <c r="I321" s="698"/>
      <c r="J321" s="689"/>
      <c r="K321" s="689"/>
      <c r="L321" s="366"/>
      <c r="N321" s="19"/>
      <c r="O321" s="19"/>
    </row>
    <row r="322" spans="1:15" ht="12.75" customHeight="1" x14ac:dyDescent="0.2">
      <c r="A322" s="18" t="s">
        <v>255</v>
      </c>
      <c r="B322" s="18"/>
      <c r="C322" s="30" t="s">
        <v>69</v>
      </c>
      <c r="D322" s="19"/>
      <c r="E322" s="19"/>
      <c r="F322" s="39"/>
      <c r="G322" s="38"/>
      <c r="H322" s="32"/>
      <c r="I322" s="698"/>
      <c r="J322" s="689"/>
      <c r="K322" s="689"/>
      <c r="L322" s="366"/>
      <c r="N322" s="19"/>
      <c r="O322" s="19"/>
    </row>
    <row r="323" spans="1:15" ht="12.75" customHeight="1" x14ac:dyDescent="0.2">
      <c r="A323" s="18" t="s">
        <v>266</v>
      </c>
      <c r="B323" s="18"/>
      <c r="C323" s="30" t="s">
        <v>267</v>
      </c>
      <c r="D323" s="19"/>
      <c r="E323" s="19"/>
      <c r="F323" s="39"/>
      <c r="G323" s="38"/>
      <c r="H323" s="32"/>
      <c r="I323" s="366"/>
      <c r="J323" s="366"/>
      <c r="K323" s="366"/>
      <c r="L323" s="366"/>
      <c r="M323" s="366"/>
      <c r="N323" s="19"/>
      <c r="O323" s="19"/>
    </row>
    <row r="324" spans="1:15" ht="12.75" customHeight="1" x14ac:dyDescent="0.2">
      <c r="A324" s="18" t="s">
        <v>268</v>
      </c>
      <c r="B324" s="18"/>
      <c r="C324" s="30"/>
      <c r="D324" s="19"/>
      <c r="E324" s="19"/>
      <c r="F324" s="39"/>
      <c r="G324" s="19"/>
      <c r="H324" s="32"/>
      <c r="I324" s="366"/>
      <c r="J324" s="366"/>
      <c r="K324" s="366"/>
      <c r="L324" s="366"/>
      <c r="M324" s="366"/>
      <c r="N324" s="19"/>
      <c r="O324" s="19"/>
    </row>
    <row r="325" spans="1:15" ht="12.75" customHeight="1" x14ac:dyDescent="0.2">
      <c r="A325" s="18" t="s">
        <v>269</v>
      </c>
      <c r="B325" s="18"/>
      <c r="C325" s="30"/>
      <c r="D325" s="19"/>
      <c r="E325" s="19"/>
      <c r="F325" s="39"/>
      <c r="G325" s="19"/>
      <c r="H325" s="19"/>
      <c r="I325" s="366"/>
      <c r="J325" s="366"/>
      <c r="K325" s="366"/>
      <c r="L325" s="366"/>
      <c r="M325" s="366"/>
      <c r="N325" s="19"/>
      <c r="O325" s="19"/>
    </row>
    <row r="326" spans="1:15" ht="12.75" customHeight="1" x14ac:dyDescent="0.2">
      <c r="A326" s="18"/>
      <c r="B326" s="18"/>
      <c r="C326" s="30"/>
      <c r="D326" s="19"/>
      <c r="E326" s="19"/>
      <c r="F326" s="39"/>
      <c r="G326" s="19"/>
      <c r="H326" s="19"/>
      <c r="I326" s="366"/>
      <c r="J326" s="366"/>
      <c r="K326" s="366"/>
      <c r="L326" s="366"/>
      <c r="M326" s="366"/>
      <c r="N326" s="19"/>
      <c r="O326" s="19"/>
    </row>
    <row r="327" spans="1:15" ht="12.75" customHeight="1" x14ac:dyDescent="0.2">
      <c r="A327" s="27" t="s">
        <v>126</v>
      </c>
      <c r="B327" s="27"/>
      <c r="C327" s="24"/>
      <c r="D327" s="19"/>
      <c r="E327" s="19"/>
      <c r="F327" s="39"/>
      <c r="G327" s="19"/>
      <c r="H327" s="19"/>
      <c r="I327" s="366"/>
      <c r="J327" s="366"/>
      <c r="K327" s="366"/>
      <c r="L327" s="366"/>
      <c r="M327" s="366"/>
      <c r="N327" s="19"/>
      <c r="O327" s="19"/>
    </row>
    <row r="328" spans="1:15" ht="12.75" customHeight="1" x14ac:dyDescent="0.2">
      <c r="A328" s="18" t="s">
        <v>270</v>
      </c>
      <c r="B328" s="18"/>
      <c r="C328" s="366"/>
      <c r="D328" s="19"/>
      <c r="E328" s="19"/>
      <c r="F328" s="39"/>
      <c r="G328" s="19"/>
      <c r="H328" s="19"/>
      <c r="I328" s="366"/>
      <c r="J328" s="366"/>
      <c r="K328" s="366"/>
      <c r="L328" s="366"/>
      <c r="M328" s="366"/>
      <c r="N328" s="19"/>
      <c r="O328" s="19"/>
    </row>
    <row r="329" spans="1:15" ht="12.75" customHeight="1" x14ac:dyDescent="0.2">
      <c r="A329" s="18" t="s">
        <v>271</v>
      </c>
      <c r="B329" s="18"/>
      <c r="C329" s="366"/>
      <c r="D329" s="19"/>
      <c r="E329" s="19"/>
      <c r="F329" s="39"/>
      <c r="G329" s="19"/>
      <c r="H329" s="19"/>
      <c r="I329" s="366"/>
    </row>
    <row r="330" spans="1:15" ht="12.75" customHeight="1" x14ac:dyDescent="0.2">
      <c r="A330" s="18" t="s">
        <v>223</v>
      </c>
      <c r="B330" s="18"/>
      <c r="C330" s="19"/>
      <c r="D330" s="19"/>
      <c r="F330" s="19"/>
      <c r="I330" s="366"/>
    </row>
    <row r="331" spans="1:15" ht="12.75" customHeight="1" x14ac:dyDescent="0.2">
      <c r="A331" s="27" t="s">
        <v>272</v>
      </c>
      <c r="B331" s="27"/>
      <c r="C331" s="19"/>
      <c r="D331" s="19"/>
      <c r="F331" s="19"/>
      <c r="I331" s="366"/>
    </row>
    <row r="332" spans="1:15" ht="12.75" customHeight="1" x14ac:dyDescent="0.2">
      <c r="A332" s="19" t="s">
        <v>273</v>
      </c>
      <c r="B332" s="19"/>
      <c r="C332" s="19"/>
      <c r="D332" s="19"/>
      <c r="F332" s="19"/>
      <c r="I332" s="366"/>
    </row>
    <row r="333" spans="1:15" ht="12.75" customHeight="1" x14ac:dyDescent="0.2">
      <c r="A333" s="19" t="s">
        <v>274</v>
      </c>
      <c r="B333" s="19"/>
      <c r="C333" s="19"/>
      <c r="D333" s="19"/>
      <c r="F333" s="19"/>
      <c r="I333" s="366"/>
    </row>
    <row r="334" spans="1:15" ht="12.75" customHeight="1" x14ac:dyDescent="0.2">
      <c r="A334" s="19" t="s">
        <v>275</v>
      </c>
      <c r="B334" s="19"/>
      <c r="C334" s="19"/>
      <c r="D334" s="19"/>
      <c r="F334" s="19"/>
      <c r="I334" s="366"/>
    </row>
    <row r="335" spans="1:15" ht="12.75" customHeight="1" x14ac:dyDescent="0.2">
      <c r="A335" s="18"/>
      <c r="B335" s="18"/>
      <c r="C335" s="19"/>
      <c r="D335" s="19"/>
      <c r="F335" s="19"/>
      <c r="G335" s="22"/>
      <c r="H335" s="19"/>
      <c r="I335" s="366"/>
    </row>
    <row r="336" spans="1:15" ht="12.75" customHeight="1" x14ac:dyDescent="0.2">
      <c r="A336" s="20" t="s">
        <v>276</v>
      </c>
      <c r="B336" s="20"/>
      <c r="C336" s="19"/>
      <c r="D336" s="19"/>
      <c r="F336" s="19"/>
      <c r="G336" s="22"/>
      <c r="H336" s="19"/>
      <c r="I336" s="366"/>
    </row>
    <row r="337" spans="1:9" ht="12.75" customHeight="1" x14ac:dyDescent="0.2">
      <c r="A337" s="18" t="s">
        <v>277</v>
      </c>
      <c r="B337" s="18"/>
      <c r="C337" s="19"/>
      <c r="D337" s="19"/>
      <c r="F337" s="19"/>
      <c r="G337" s="22"/>
      <c r="H337" s="19"/>
      <c r="I337" s="366"/>
    </row>
    <row r="338" spans="1:9" ht="12.75" customHeight="1" x14ac:dyDescent="0.2">
      <c r="A338" s="18" t="s">
        <v>278</v>
      </c>
      <c r="B338" s="18"/>
      <c r="C338" s="19"/>
      <c r="D338" s="19"/>
      <c r="F338" s="19"/>
    </row>
    <row r="339" spans="1:9" ht="12.75" customHeight="1" x14ac:dyDescent="0.2">
      <c r="A339" s="18" t="s">
        <v>279</v>
      </c>
      <c r="B339" s="18"/>
      <c r="C339" s="19"/>
      <c r="D339" s="19"/>
      <c r="E339" s="19"/>
      <c r="F339" s="22"/>
    </row>
    <row r="340" spans="1:9" ht="12.75" customHeight="1" x14ac:dyDescent="0.2">
      <c r="A340" s="18" t="s">
        <v>280</v>
      </c>
      <c r="B340" s="18"/>
      <c r="C340" s="19"/>
      <c r="D340" s="19"/>
      <c r="E340" s="19"/>
      <c r="F340" s="22"/>
    </row>
    <row r="341" spans="1:9" ht="12.75" customHeight="1" x14ac:dyDescent="0.2">
      <c r="A341" s="18" t="s">
        <v>281</v>
      </c>
      <c r="B341" s="18"/>
      <c r="C341" s="19"/>
      <c r="D341" s="19"/>
      <c r="E341" s="19"/>
      <c r="F341" s="22"/>
    </row>
    <row r="342" spans="1:9" ht="12.75" customHeight="1" x14ac:dyDescent="0.2">
      <c r="A342" s="18" t="s">
        <v>282</v>
      </c>
      <c r="B342" s="18"/>
      <c r="C342" s="19"/>
      <c r="D342" s="19"/>
      <c r="E342" s="19"/>
      <c r="F342" s="22"/>
    </row>
    <row r="343" spans="1:9" ht="12.75" customHeight="1" x14ac:dyDescent="0.2">
      <c r="A343" s="18" t="s">
        <v>283</v>
      </c>
      <c r="B343" s="18"/>
      <c r="C343" s="19"/>
      <c r="D343" s="19"/>
      <c r="E343" s="19"/>
      <c r="F343" s="22"/>
    </row>
    <row r="344" spans="1:9" ht="12.75" customHeight="1" x14ac:dyDescent="0.2">
      <c r="A344" s="18"/>
      <c r="B344" s="18"/>
      <c r="C344" s="19"/>
      <c r="D344" s="19"/>
      <c r="E344" s="19"/>
      <c r="F344" s="22"/>
    </row>
    <row r="345" spans="1:9" ht="12.75" customHeight="1" x14ac:dyDescent="0.2">
      <c r="A345" s="20" t="s">
        <v>284</v>
      </c>
      <c r="B345" s="20"/>
      <c r="D345" s="19" t="s">
        <v>285</v>
      </c>
      <c r="E345" s="19"/>
    </row>
    <row r="346" spans="1:9" ht="12.75" customHeight="1" x14ac:dyDescent="0.2">
      <c r="A346" s="18" t="s">
        <v>286</v>
      </c>
      <c r="B346" s="18"/>
      <c r="D346" s="19">
        <v>0</v>
      </c>
      <c r="E346" s="19"/>
    </row>
    <row r="347" spans="1:9" ht="12.75" customHeight="1" x14ac:dyDescent="0.2">
      <c r="A347" s="18" t="s">
        <v>287</v>
      </c>
      <c r="B347" s="18"/>
      <c r="D347" s="19"/>
      <c r="E347" s="19"/>
    </row>
    <row r="348" spans="1:9" ht="12.75" customHeight="1" x14ac:dyDescent="0.2">
      <c r="A348" s="21" t="s">
        <v>288</v>
      </c>
      <c r="B348" s="21"/>
      <c r="D348" s="22"/>
      <c r="E348" s="22"/>
    </row>
    <row r="349" spans="1:9" ht="12.75" customHeight="1" x14ac:dyDescent="0.2">
      <c r="A349" s="21" t="s">
        <v>289</v>
      </c>
      <c r="B349" s="21"/>
      <c r="D349" s="22"/>
      <c r="E349" s="22"/>
    </row>
    <row r="350" spans="1:9" ht="12.75" customHeight="1" x14ac:dyDescent="0.2">
      <c r="A350" s="21" t="s">
        <v>290</v>
      </c>
      <c r="B350" s="21"/>
      <c r="D350" s="22"/>
      <c r="E350" s="22"/>
    </row>
    <row r="351" spans="1:9" ht="12.75" customHeight="1" x14ac:dyDescent="0.2">
      <c r="A351" s="21" t="s">
        <v>291</v>
      </c>
      <c r="B351" s="21"/>
      <c r="D351" s="22"/>
      <c r="E351" s="22"/>
    </row>
    <row r="352" spans="1:9" ht="12.75" customHeight="1" x14ac:dyDescent="0.2">
      <c r="A352" s="21" t="s">
        <v>292</v>
      </c>
      <c r="B352" s="21"/>
      <c r="D352" s="22"/>
      <c r="E352" s="22"/>
    </row>
    <row r="353" spans="1:5" ht="12.75" customHeight="1" x14ac:dyDescent="0.2">
      <c r="A353" s="21"/>
      <c r="B353" s="21"/>
      <c r="C353" s="22"/>
      <c r="D353" s="22"/>
      <c r="E353" s="22"/>
    </row>
    <row r="354" spans="1:5" ht="12.75" customHeight="1" x14ac:dyDescent="0.2">
      <c r="A354" s="35" t="s">
        <v>1459</v>
      </c>
    </row>
    <row r="355" spans="1:5" ht="12.75" customHeight="1" x14ac:dyDescent="0.2">
      <c r="A355" s="35" t="s">
        <v>1461</v>
      </c>
    </row>
    <row r="356" spans="1:5" ht="12.75" customHeight="1" x14ac:dyDescent="0.2">
      <c r="A356" s="37" t="s">
        <v>1463</v>
      </c>
    </row>
    <row r="357" spans="1:5" ht="12.75" customHeight="1" x14ac:dyDescent="0.2">
      <c r="A357" s="37" t="s">
        <v>1465</v>
      </c>
    </row>
    <row r="358" spans="1:5" ht="12.75" customHeight="1" x14ac:dyDescent="0.2">
      <c r="A358" s="37" t="s">
        <v>1467</v>
      </c>
    </row>
    <row r="359" spans="1:5" ht="12.75" customHeight="1" x14ac:dyDescent="0.2">
      <c r="A359" s="37" t="s">
        <v>1469</v>
      </c>
    </row>
    <row r="360" spans="1:5" ht="12.75" customHeight="1" x14ac:dyDescent="0.2">
      <c r="A360" s="37" t="s">
        <v>1471</v>
      </c>
    </row>
    <row r="361" spans="1:5" ht="12.75" customHeight="1" x14ac:dyDescent="0.2">
      <c r="A361" s="37" t="s">
        <v>1473</v>
      </c>
    </row>
    <row r="362" spans="1:5" ht="12.75" customHeight="1" x14ac:dyDescent="0.2">
      <c r="A362" s="37" t="s">
        <v>1475</v>
      </c>
    </row>
    <row r="363" spans="1:5" ht="12.75" customHeight="1" x14ac:dyDescent="0.2">
      <c r="A363" s="37" t="s">
        <v>1477</v>
      </c>
    </row>
    <row r="364" spans="1:5" ht="12.75" customHeight="1" x14ac:dyDescent="0.2">
      <c r="A364" s="37" t="s">
        <v>1479</v>
      </c>
    </row>
    <row r="365" spans="1:5" ht="12.75" customHeight="1" x14ac:dyDescent="0.2">
      <c r="A365" s="37" t="s">
        <v>1483</v>
      </c>
    </row>
    <row r="366" spans="1:5" ht="12.75" customHeight="1" x14ac:dyDescent="0.2">
      <c r="A366" s="37" t="s">
        <v>1485</v>
      </c>
    </row>
    <row r="367" spans="1:5" ht="12.75" customHeight="1" x14ac:dyDescent="0.2">
      <c r="A367" s="37" t="s">
        <v>1487</v>
      </c>
    </row>
    <row r="368" spans="1:5" ht="12.75" customHeight="1" x14ac:dyDescent="0.2">
      <c r="A368" s="37" t="s">
        <v>1489</v>
      </c>
    </row>
    <row r="369" spans="1:1" ht="12.75" customHeight="1" x14ac:dyDescent="0.2">
      <c r="A369" s="37" t="s">
        <v>1491</v>
      </c>
    </row>
    <row r="370" spans="1:1" ht="12.75" customHeight="1" x14ac:dyDescent="0.2">
      <c r="A370" s="37" t="s">
        <v>1493</v>
      </c>
    </row>
    <row r="371" spans="1:1" ht="12.75" customHeight="1" x14ac:dyDescent="0.2">
      <c r="A371" s="37" t="s">
        <v>1495</v>
      </c>
    </row>
    <row r="372" spans="1:1" ht="12.75" customHeight="1" x14ac:dyDescent="0.2">
      <c r="A372" s="37" t="s">
        <v>1497</v>
      </c>
    </row>
    <row r="373" spans="1:1" ht="12.75" customHeight="1" x14ac:dyDescent="0.2">
      <c r="A373" s="37" t="s">
        <v>1499</v>
      </c>
    </row>
    <row r="374" spans="1:1" ht="12.75" customHeight="1" x14ac:dyDescent="0.2">
      <c r="A374" s="37" t="s">
        <v>1501</v>
      </c>
    </row>
    <row r="375" spans="1:1" ht="12.75" customHeight="1" x14ac:dyDescent="0.2">
      <c r="A375" s="37" t="s">
        <v>1503</v>
      </c>
    </row>
    <row r="376" spans="1:1" ht="12.75" customHeight="1" x14ac:dyDescent="0.2">
      <c r="A376" s="37" t="s">
        <v>1505</v>
      </c>
    </row>
    <row r="377" spans="1:1" ht="12.75" customHeight="1" x14ac:dyDescent="0.2">
      <c r="A377" s="37" t="s">
        <v>1509</v>
      </c>
    </row>
    <row r="378" spans="1:1" ht="12.75" customHeight="1" x14ac:dyDescent="0.2">
      <c r="A378" s="37" t="s">
        <v>1511</v>
      </c>
    </row>
    <row r="379" spans="1:1" ht="12.75" customHeight="1" x14ac:dyDescent="0.2">
      <c r="A379" s="37" t="s">
        <v>1513</v>
      </c>
    </row>
    <row r="380" spans="1:1" ht="12.75" customHeight="1" x14ac:dyDescent="0.2">
      <c r="A380" s="37" t="s">
        <v>1515</v>
      </c>
    </row>
    <row r="381" spans="1:1" ht="12.75" customHeight="1" x14ac:dyDescent="0.2">
      <c r="A381" s="37" t="s">
        <v>1517</v>
      </c>
    </row>
    <row r="382" spans="1:1" ht="12.75" customHeight="1" x14ac:dyDescent="0.2">
      <c r="A382" s="37" t="s">
        <v>1519</v>
      </c>
    </row>
    <row r="383" spans="1:1" ht="12.75" customHeight="1" x14ac:dyDescent="0.2">
      <c r="A383" s="37" t="s">
        <v>1521</v>
      </c>
    </row>
    <row r="384" spans="1:1" ht="12.75" customHeight="1" x14ac:dyDescent="0.2">
      <c r="A384" s="37" t="s">
        <v>1523</v>
      </c>
    </row>
    <row r="385" spans="1:1" ht="12.75" customHeight="1" x14ac:dyDescent="0.2">
      <c r="A385" s="37" t="s">
        <v>1525</v>
      </c>
    </row>
    <row r="386" spans="1:1" ht="12.75" customHeight="1" x14ac:dyDescent="0.2">
      <c r="A386" s="37" t="s">
        <v>1527</v>
      </c>
    </row>
    <row r="387" spans="1:1" ht="12.75" customHeight="1" x14ac:dyDescent="0.2">
      <c r="A387" s="37" t="s">
        <v>1531</v>
      </c>
    </row>
    <row r="388" spans="1:1" ht="12.75" customHeight="1" x14ac:dyDescent="0.2">
      <c r="A388" s="37" t="s">
        <v>1533</v>
      </c>
    </row>
    <row r="389" spans="1:1" ht="12.75" customHeight="1" x14ac:dyDescent="0.2">
      <c r="A389" s="37" t="s">
        <v>1535</v>
      </c>
    </row>
    <row r="390" spans="1:1" ht="12.75" customHeight="1" x14ac:dyDescent="0.2">
      <c r="A390" s="37" t="s">
        <v>1537</v>
      </c>
    </row>
    <row r="391" spans="1:1" ht="12.75" customHeight="1" x14ac:dyDescent="0.2">
      <c r="A391" s="37" t="s">
        <v>1539</v>
      </c>
    </row>
    <row r="392" spans="1:1" ht="12.75" customHeight="1" x14ac:dyDescent="0.2">
      <c r="A392" s="37" t="s">
        <v>1541</v>
      </c>
    </row>
    <row r="393" spans="1:1" ht="12.75" customHeight="1" x14ac:dyDescent="0.2">
      <c r="A393" s="37" t="s">
        <v>1543</v>
      </c>
    </row>
    <row r="394" spans="1:1" ht="12.75" customHeight="1" x14ac:dyDescent="0.2">
      <c r="A394" s="37" t="s">
        <v>1545</v>
      </c>
    </row>
    <row r="395" spans="1:1" ht="12.75" customHeight="1" x14ac:dyDescent="0.2">
      <c r="A395" s="37" t="s">
        <v>1547</v>
      </c>
    </row>
    <row r="396" spans="1:1" ht="12.75" customHeight="1" x14ac:dyDescent="0.2">
      <c r="A396" s="37" t="s">
        <v>1549</v>
      </c>
    </row>
    <row r="397" spans="1:1" ht="12.75" customHeight="1" x14ac:dyDescent="0.2">
      <c r="A397" s="37" t="s">
        <v>1551</v>
      </c>
    </row>
    <row r="398" spans="1:1" ht="12.75" customHeight="1" x14ac:dyDescent="0.2">
      <c r="A398" s="37" t="s">
        <v>1553</v>
      </c>
    </row>
    <row r="399" spans="1:1" ht="12.75" customHeight="1" x14ac:dyDescent="0.2">
      <c r="A399" s="37" t="s">
        <v>1557</v>
      </c>
    </row>
    <row r="400" spans="1:1" ht="12.75" customHeight="1" x14ac:dyDescent="0.2">
      <c r="A400" s="37" t="s">
        <v>1559</v>
      </c>
    </row>
    <row r="401" spans="1:1" ht="12.75" customHeight="1" x14ac:dyDescent="0.2">
      <c r="A401" s="37" t="s">
        <v>1561</v>
      </c>
    </row>
    <row r="402" spans="1:1" ht="12.75" customHeight="1" x14ac:dyDescent="0.2">
      <c r="A402" s="37" t="s">
        <v>1563</v>
      </c>
    </row>
    <row r="403" spans="1:1" ht="12.75" customHeight="1" x14ac:dyDescent="0.2">
      <c r="A403" s="37" t="s">
        <v>1565</v>
      </c>
    </row>
    <row r="404" spans="1:1" ht="12.75" customHeight="1" x14ac:dyDescent="0.2">
      <c r="A404" s="37" t="s">
        <v>1567</v>
      </c>
    </row>
    <row r="405" spans="1:1" ht="12.75" customHeight="1" x14ac:dyDescent="0.2">
      <c r="A405" s="37" t="s">
        <v>1569</v>
      </c>
    </row>
    <row r="406" spans="1:1" ht="12.75" customHeight="1" x14ac:dyDescent="0.2">
      <c r="A406" s="37" t="s">
        <v>1571</v>
      </c>
    </row>
    <row r="407" spans="1:1" ht="12.75" customHeight="1" x14ac:dyDescent="0.2">
      <c r="A407" s="37" t="s">
        <v>1573</v>
      </c>
    </row>
    <row r="408" spans="1:1" ht="12.75" customHeight="1" x14ac:dyDescent="0.2">
      <c r="A408" s="37" t="s">
        <v>1575</v>
      </c>
    </row>
    <row r="409" spans="1:1" ht="12.75" customHeight="1" x14ac:dyDescent="0.2">
      <c r="A409" s="37" t="s">
        <v>1577</v>
      </c>
    </row>
    <row r="410" spans="1:1" ht="12.75" customHeight="1" x14ac:dyDescent="0.2">
      <c r="A410" s="37" t="s">
        <v>1581</v>
      </c>
    </row>
    <row r="411" spans="1:1" ht="12.75" customHeight="1" x14ac:dyDescent="0.2">
      <c r="A411" s="37" t="s">
        <v>1583</v>
      </c>
    </row>
    <row r="412" spans="1:1" ht="12.75" customHeight="1" x14ac:dyDescent="0.2">
      <c r="A412" s="37" t="s">
        <v>1585</v>
      </c>
    </row>
    <row r="413" spans="1:1" ht="12.75" customHeight="1" x14ac:dyDescent="0.2">
      <c r="A413" s="37" t="s">
        <v>1587</v>
      </c>
    </row>
    <row r="414" spans="1:1" ht="12.75" customHeight="1" x14ac:dyDescent="0.2">
      <c r="A414" s="37" t="s">
        <v>1589</v>
      </c>
    </row>
    <row r="415" spans="1:1" ht="12.75" customHeight="1" x14ac:dyDescent="0.2">
      <c r="A415" s="37" t="s">
        <v>1591</v>
      </c>
    </row>
    <row r="416" spans="1:1" ht="12.75" customHeight="1" x14ac:dyDescent="0.2">
      <c r="A416" s="37" t="s">
        <v>1593</v>
      </c>
    </row>
    <row r="417" spans="1:1" ht="12.75" customHeight="1" x14ac:dyDescent="0.2">
      <c r="A417" s="37" t="s">
        <v>1595</v>
      </c>
    </row>
    <row r="418" spans="1:1" ht="12.75" customHeight="1" x14ac:dyDescent="0.2">
      <c r="A418" s="37" t="s">
        <v>1597</v>
      </c>
    </row>
    <row r="419" spans="1:1" ht="12.75" customHeight="1" x14ac:dyDescent="0.2">
      <c r="A419" s="37" t="s">
        <v>1599</v>
      </c>
    </row>
    <row r="420" spans="1:1" ht="12.75" customHeight="1" x14ac:dyDescent="0.2">
      <c r="A420" s="37" t="s">
        <v>1601</v>
      </c>
    </row>
    <row r="421" spans="1:1" ht="12.75" customHeight="1" x14ac:dyDescent="0.2">
      <c r="A421" s="37" t="s">
        <v>1603</v>
      </c>
    </row>
    <row r="422" spans="1:1" ht="12.75" customHeight="1" x14ac:dyDescent="0.2">
      <c r="A422" s="37" t="s">
        <v>1421</v>
      </c>
    </row>
    <row r="423" spans="1:1" ht="12.75" customHeight="1" x14ac:dyDescent="0.2">
      <c r="A423" s="37" t="s">
        <v>1415</v>
      </c>
    </row>
    <row r="424" spans="1:1" ht="12.75" customHeight="1" x14ac:dyDescent="0.2">
      <c r="A424" s="37" t="s">
        <v>151</v>
      </c>
    </row>
    <row r="425" spans="1:1" ht="12.75" customHeight="1" x14ac:dyDescent="0.2">
      <c r="A425" s="37" t="s">
        <v>153</v>
      </c>
    </row>
    <row r="426" spans="1:1" ht="12.75" customHeight="1" x14ac:dyDescent="0.2">
      <c r="A426" s="37" t="s">
        <v>155</v>
      </c>
    </row>
    <row r="427" spans="1:1" ht="12.75" customHeight="1" x14ac:dyDescent="0.2">
      <c r="A427" s="37" t="s">
        <v>157</v>
      </c>
    </row>
    <row r="428" spans="1:1" ht="12.75" customHeight="1" x14ac:dyDescent="0.2">
      <c r="A428" s="37" t="s">
        <v>159</v>
      </c>
    </row>
    <row r="429" spans="1:1" ht="12.75" customHeight="1" x14ac:dyDescent="0.2">
      <c r="A429" s="37" t="s">
        <v>161</v>
      </c>
    </row>
    <row r="430" spans="1:1" ht="12.75" customHeight="1" x14ac:dyDescent="0.2">
      <c r="A430" s="37" t="s">
        <v>163</v>
      </c>
    </row>
    <row r="431" spans="1:1" ht="12.75" customHeight="1" x14ac:dyDescent="0.2">
      <c r="A431" s="37" t="s">
        <v>1417</v>
      </c>
    </row>
    <row r="432" spans="1:1" ht="12.75" customHeight="1" x14ac:dyDescent="0.2">
      <c r="A432" s="37" t="s">
        <v>1418</v>
      </c>
    </row>
    <row r="433" spans="1:1" ht="12.75" customHeight="1" x14ac:dyDescent="0.2">
      <c r="A433" s="37" t="s">
        <v>165</v>
      </c>
    </row>
    <row r="434" spans="1:1" ht="12.75" customHeight="1" x14ac:dyDescent="0.2">
      <c r="A434" s="37" t="s">
        <v>167</v>
      </c>
    </row>
    <row r="435" spans="1:1" ht="12.75" customHeight="1" x14ac:dyDescent="0.2">
      <c r="A435" s="37" t="s">
        <v>169</v>
      </c>
    </row>
    <row r="436" spans="1:1" ht="12.75" customHeight="1" x14ac:dyDescent="0.2">
      <c r="A436" s="37" t="s">
        <v>171</v>
      </c>
    </row>
    <row r="437" spans="1:1" ht="12.75" customHeight="1" x14ac:dyDescent="0.2">
      <c r="A437" s="37" t="s">
        <v>173</v>
      </c>
    </row>
    <row r="438" spans="1:1" ht="12.75" customHeight="1" x14ac:dyDescent="0.2">
      <c r="A438" s="37" t="s">
        <v>175</v>
      </c>
    </row>
    <row r="439" spans="1:1" ht="12.75" customHeight="1" x14ac:dyDescent="0.2">
      <c r="A439" s="37" t="s">
        <v>177</v>
      </c>
    </row>
    <row r="440" spans="1:1" ht="12.75" customHeight="1" x14ac:dyDescent="0.2">
      <c r="A440" s="37" t="s">
        <v>179</v>
      </c>
    </row>
    <row r="441" spans="1:1" ht="12.75" customHeight="1" x14ac:dyDescent="0.2">
      <c r="A441" s="37" t="s">
        <v>181</v>
      </c>
    </row>
    <row r="442" spans="1:1" ht="12.75" customHeight="1" x14ac:dyDescent="0.2">
      <c r="A442" s="37" t="s">
        <v>183</v>
      </c>
    </row>
    <row r="443" spans="1:1" ht="12.75" customHeight="1" x14ac:dyDescent="0.2">
      <c r="A443" s="37" t="s">
        <v>185</v>
      </c>
    </row>
    <row r="444" spans="1:1" ht="12.75" customHeight="1" x14ac:dyDescent="0.2">
      <c r="A444" s="37" t="s">
        <v>187</v>
      </c>
    </row>
    <row r="445" spans="1:1" ht="12.75" customHeight="1" x14ac:dyDescent="0.2">
      <c r="A445" s="37" t="s">
        <v>189</v>
      </c>
    </row>
    <row r="446" spans="1:1" ht="12.75" customHeight="1" x14ac:dyDescent="0.2">
      <c r="A446" s="37" t="s">
        <v>191</v>
      </c>
    </row>
  </sheetData>
  <mergeCells count="3">
    <mergeCell ref="I253:J253"/>
    <mergeCell ref="K253:L253"/>
    <mergeCell ref="H286:L28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X67"/>
  <sheetViews>
    <sheetView zoomScale="85" zoomScaleNormal="85" workbookViewId="0">
      <selection activeCell="AI23" sqref="AI23"/>
    </sheetView>
  </sheetViews>
  <sheetFormatPr defaultColWidth="9.140625" defaultRowHeight="12" x14ac:dyDescent="0.2"/>
  <cols>
    <col min="1" max="1" width="2.42578125" style="337" customWidth="1"/>
    <col min="2" max="2" width="16.85546875" style="151" customWidth="1"/>
    <col min="3" max="3" width="13.85546875" style="151" customWidth="1"/>
    <col min="4" max="4" width="17.28515625" style="151" customWidth="1"/>
    <col min="5" max="5" width="9.42578125" style="151" customWidth="1"/>
    <col min="6" max="6" width="16.7109375" style="151" customWidth="1"/>
    <col min="7" max="7" width="10" style="151" customWidth="1"/>
    <col min="8" max="8" width="5.28515625" style="151" customWidth="1"/>
    <col min="9" max="9" width="10.7109375" style="151" customWidth="1"/>
    <col min="10" max="10" width="12.28515625" style="151" customWidth="1"/>
    <col min="11" max="11" width="9.85546875" style="151" customWidth="1"/>
    <col min="12" max="12" width="13.28515625" style="151" customWidth="1"/>
    <col min="13" max="13" width="8.28515625" style="151" customWidth="1"/>
    <col min="14" max="14" width="8" style="116" customWidth="1"/>
    <col min="15" max="15" width="14.42578125" style="116" customWidth="1"/>
    <col min="16" max="16" width="15.7109375" style="116" customWidth="1"/>
    <col min="17" max="17" width="18" style="116" customWidth="1"/>
    <col min="18" max="18" width="13.85546875" style="116" customWidth="1"/>
    <col min="19" max="19" width="6.5703125" style="116" hidden="1" customWidth="1"/>
    <col min="20" max="20" width="15" style="116" hidden="1" customWidth="1"/>
    <col min="21" max="21" width="12.7109375" style="116" hidden="1" customWidth="1"/>
    <col min="22" max="22" width="8.7109375" style="116" hidden="1" customWidth="1"/>
    <col min="23" max="23" width="12.140625" style="116" hidden="1" customWidth="1"/>
    <col min="24" max="24" width="7" style="116" hidden="1" customWidth="1"/>
    <col min="25" max="25" width="7.7109375" style="116" hidden="1" customWidth="1"/>
    <col min="26" max="26" width="22" style="116" hidden="1" customWidth="1"/>
    <col min="27" max="27" width="28.5703125" style="116" hidden="1" customWidth="1"/>
    <col min="28" max="28" width="47.28515625" style="116" hidden="1" customWidth="1"/>
    <col min="29" max="29" width="32.42578125" style="116" hidden="1" customWidth="1"/>
    <col min="30" max="30" width="7.140625" style="116" hidden="1" customWidth="1"/>
    <col min="31" max="31" width="5.85546875" style="116" customWidth="1"/>
    <col min="32" max="35" width="10.7109375" style="116" customWidth="1"/>
    <col min="36" max="38" width="9.140625" style="116" customWidth="1"/>
    <col min="39" max="39" width="10.7109375" style="116" customWidth="1"/>
    <col min="40" max="41" width="9.140625" style="116" customWidth="1"/>
    <col min="42" max="42" width="9.140625" style="183" customWidth="1"/>
    <col min="43" max="44" width="9.140625" style="116" customWidth="1"/>
    <col min="45" max="47" width="9.140625" style="151" customWidth="1"/>
    <col min="48" max="16384" width="9.140625" style="151"/>
  </cols>
  <sheetData>
    <row r="1" spans="1:49" ht="15" customHeight="1" x14ac:dyDescent="0.2">
      <c r="B1" s="70" t="s">
        <v>0</v>
      </c>
      <c r="C1" s="182"/>
      <c r="D1" s="182"/>
      <c r="E1" s="182"/>
      <c r="F1" s="182"/>
      <c r="G1" s="233" t="s">
        <v>1612</v>
      </c>
      <c r="H1" s="182"/>
      <c r="I1" s="182"/>
      <c r="J1" s="390"/>
      <c r="K1" s="182"/>
      <c r="L1" s="71">
        <f ca="1">+NOW()</f>
        <v>46210.693019444443</v>
      </c>
      <c r="M1" s="261"/>
      <c r="N1" s="183"/>
    </row>
    <row r="2" spans="1:49" ht="5.25" customHeight="1" x14ac:dyDescent="0.2">
      <c r="B2" s="184"/>
      <c r="C2" s="185"/>
      <c r="D2" s="185"/>
      <c r="E2" s="185"/>
      <c r="F2" s="186"/>
      <c r="G2" s="185"/>
      <c r="H2" s="185"/>
      <c r="I2" s="185"/>
      <c r="J2" s="185"/>
      <c r="K2" s="185"/>
      <c r="L2" s="187"/>
      <c r="M2" s="261"/>
      <c r="N2" s="183"/>
    </row>
    <row r="3" spans="1:49" ht="15" customHeight="1" thickBot="1" x14ac:dyDescent="0.25">
      <c r="B3" s="184" t="s">
        <v>1</v>
      </c>
      <c r="C3" s="185"/>
      <c r="D3" s="185"/>
      <c r="E3" s="185"/>
      <c r="F3" s="186" t="s">
        <v>2</v>
      </c>
      <c r="G3" s="185"/>
      <c r="H3" s="186" t="s">
        <v>3</v>
      </c>
      <c r="I3" s="185"/>
      <c r="J3" s="185"/>
      <c r="K3" s="185"/>
      <c r="L3" s="188" t="s">
        <v>2</v>
      </c>
      <c r="M3" s="261"/>
      <c r="N3" s="183"/>
    </row>
    <row r="4" spans="1:49" ht="18" customHeight="1" thickBot="1" x14ac:dyDescent="0.25">
      <c r="B4" s="912"/>
      <c r="C4" s="913"/>
      <c r="D4" s="914"/>
      <c r="E4" s="181"/>
      <c r="F4" s="72"/>
      <c r="G4" s="189"/>
      <c r="H4" s="912"/>
      <c r="I4" s="913"/>
      <c r="J4" s="914"/>
      <c r="K4" s="33"/>
      <c r="L4" s="73"/>
      <c r="M4" s="261"/>
      <c r="N4" s="183"/>
    </row>
    <row r="5" spans="1:49" ht="5.25" customHeight="1" thickBot="1" x14ac:dyDescent="0.25">
      <c r="B5" s="190"/>
      <c r="C5" s="191"/>
      <c r="D5" s="191"/>
      <c r="E5" s="191"/>
      <c r="F5" s="191"/>
      <c r="G5" s="191"/>
      <c r="H5" s="191"/>
      <c r="I5" s="191"/>
      <c r="J5" s="192"/>
      <c r="K5" s="192"/>
      <c r="L5" s="193"/>
      <c r="M5" s="261"/>
      <c r="N5" s="183"/>
    </row>
    <row r="6" spans="1:49" s="195" customFormat="1" ht="18" customHeight="1" x14ac:dyDescent="0.2">
      <c r="A6" s="338"/>
      <c r="B6" s="915" t="s">
        <v>4</v>
      </c>
      <c r="C6" s="916"/>
      <c r="D6" s="916"/>
      <c r="E6" s="916"/>
      <c r="F6" s="916"/>
      <c r="G6" s="917"/>
      <c r="H6" s="194"/>
      <c r="I6" s="915" t="s">
        <v>5</v>
      </c>
      <c r="J6" s="916"/>
      <c r="K6" s="916"/>
      <c r="L6" s="917"/>
      <c r="M6" s="385" t="s">
        <v>6</v>
      </c>
      <c r="N6" s="197"/>
      <c r="O6" s="292" t="s">
        <v>7</v>
      </c>
      <c r="P6" s="293" t="s">
        <v>8</v>
      </c>
      <c r="Q6" s="293" t="s">
        <v>9</v>
      </c>
      <c r="R6" s="294" t="s">
        <v>10</v>
      </c>
      <c r="S6" s="196"/>
      <c r="T6" s="196"/>
      <c r="U6" s="196"/>
      <c r="V6" s="196"/>
      <c r="W6" s="196"/>
      <c r="X6" s="196"/>
      <c r="Y6" s="196" t="s">
        <v>11</v>
      </c>
      <c r="Z6" s="196" t="s">
        <v>12</v>
      </c>
      <c r="AA6" s="196"/>
      <c r="AB6" s="196"/>
      <c r="AC6" s="196"/>
      <c r="AD6" s="196"/>
      <c r="AE6" s="196"/>
      <c r="AF6" s="196"/>
      <c r="AG6" s="196"/>
      <c r="AH6" s="196"/>
      <c r="AI6" s="196"/>
      <c r="AJ6" s="196"/>
      <c r="AK6" s="196"/>
      <c r="AL6" s="196"/>
      <c r="AM6" s="196"/>
      <c r="AN6" s="196"/>
      <c r="AO6" s="196"/>
      <c r="AP6" s="197"/>
      <c r="AQ6" s="196"/>
      <c r="AR6" s="196"/>
    </row>
    <row r="7" spans="1:49" ht="18" customHeight="1" x14ac:dyDescent="0.2">
      <c r="B7" s="198" t="s">
        <v>13</v>
      </c>
      <c r="C7" s="561" t="s">
        <v>14</v>
      </c>
      <c r="D7" s="918" t="s">
        <v>15</v>
      </c>
      <c r="E7" s="918"/>
      <c r="F7" s="561" t="s">
        <v>8</v>
      </c>
      <c r="G7" s="177" t="s">
        <v>16</v>
      </c>
      <c r="H7" s="185"/>
      <c r="I7" s="910"/>
      <c r="J7" s="911"/>
      <c r="K7" s="127"/>
      <c r="L7" s="387"/>
      <c r="M7" s="386"/>
      <c r="N7" s="271">
        <f>+IF(I7="Salary Packaging",1,0)+IF(I7="Car Allowance",1,0)</f>
        <v>0</v>
      </c>
      <c r="O7" s="295" t="s">
        <v>11</v>
      </c>
      <c r="P7" s="296">
        <f>+SUM(X8:X13)+SUMIF(M7:M9,"App 1",V7:V9)+SUMIF(M12:M13,"App 1",V12:V13)</f>
        <v>0</v>
      </c>
      <c r="Q7" s="296">
        <f>+SUM(T8:T13)/12+SUMIF(M7:M9,"App 1",V7:V9)+SUMIF(M12:M13,"App 1",V12:V13)*I14</f>
        <v>0</v>
      </c>
      <c r="R7" s="418">
        <f>+SUM(X8:X13)/30.3*Q14+(Y7*N7)/30.3*Q14+(Y8*N8)/30.3*Q14+(Y9*N9)/30.3*Q14</f>
        <v>0</v>
      </c>
      <c r="T7" s="227"/>
      <c r="U7" s="227"/>
      <c r="V7" s="332">
        <f>+IF(K7="",L7*0,IF(K7="A",L7/12,IF(K7="M",L7,IF(K7="b",L7*24/12,IF(K7="F",L7*26/12,IF(K7="W",L7*52/12))))))*W7</f>
        <v>0</v>
      </c>
      <c r="W7" s="116" t="b">
        <f>+IF(L7&gt;0,IF(K7="","error",1))</f>
        <v>0</v>
      </c>
      <c r="X7" s="227"/>
      <c r="Y7" s="227">
        <f>+SUMIF(M7,"App 1",V7)</f>
        <v>0</v>
      </c>
      <c r="Z7" s="227">
        <f>+SUMIF(M7,"App 2",V7)</f>
        <v>0</v>
      </c>
      <c r="AT7" s="200"/>
      <c r="AU7" s="201"/>
    </row>
    <row r="8" spans="1:49" ht="18" customHeight="1" x14ac:dyDescent="0.2">
      <c r="B8" s="198" t="s">
        <v>1</v>
      </c>
      <c r="C8" s="75"/>
      <c r="D8" s="901"/>
      <c r="E8" s="902"/>
      <c r="F8" s="495"/>
      <c r="G8" s="409"/>
      <c r="H8" s="185"/>
      <c r="I8" s="910"/>
      <c r="J8" s="911"/>
      <c r="K8" s="127"/>
      <c r="L8" s="387"/>
      <c r="M8" s="386"/>
      <c r="N8" s="271">
        <f t="shared" ref="N8:N9" si="0">+IF(I8="Salary Packaging",1,0)+IF(I8="Car Allowance",1,0)</f>
        <v>0</v>
      </c>
      <c r="O8" s="295" t="s">
        <v>12</v>
      </c>
      <c r="P8" s="296">
        <f>+SUM(X14:X19)+SUMIF(M7:M9,"App 2",V7:V9)+SUMIF(M12:M13,"App 2",V12:V13)</f>
        <v>0</v>
      </c>
      <c r="Q8" s="296">
        <f>+SUM(T14:T19)/12+SUMIF(M7:M9,"App 2",V7:V9)+SUMIF(M12:M13,"App 2",V12:V13)*0.8</f>
        <v>0</v>
      </c>
      <c r="R8" s="418">
        <f>+SUM(X14:X19)/30.3*Q18+(Z7*N7)/30.3*Q18+(Z8*N8)/30.3*Q18+(Z9*N9)/30.3*Q18</f>
        <v>0</v>
      </c>
      <c r="T8" s="332">
        <f>+IF(G8="",F8*0,IF(G8="A",F8,IF(G8="M",F8*12,IF(G8="B",F8*24,IF(G8="F",F8*26,IF(G8="W",F8*52))))))*U8</f>
        <v>0</v>
      </c>
      <c r="U8" s="227" t="b">
        <f>+IF(F8&gt;0,IF(G8="","error",1))</f>
        <v>0</v>
      </c>
      <c r="V8" s="332">
        <f t="shared" ref="V8:V9" si="1">+IF(K8="",L8*0,IF(K8="A",L8/12,IF(K8="M",L8,IF(K8="b",L8*24/12,IF(K8="F",L8*26/12,IF(K8="W",L8*52/12))))))*W8</f>
        <v>0</v>
      </c>
      <c r="W8" s="116" t="b">
        <f t="shared" ref="W8:W9" si="2">+IF(L8&gt;0,IF(K8="","error",1))</f>
        <v>0</v>
      </c>
      <c r="X8" s="227">
        <f>+T8/12</f>
        <v>0</v>
      </c>
      <c r="Y8" s="227">
        <f t="shared" ref="Y8:Y9" si="3">+SUMIF(M8,"App 1",V8)</f>
        <v>0</v>
      </c>
      <c r="Z8" s="227">
        <f t="shared" ref="Z8:Z9" si="4">+SUMIF(M8,"App 2",V8)</f>
        <v>0</v>
      </c>
      <c r="AT8" s="202"/>
      <c r="AU8" s="201"/>
      <c r="AV8" s="201"/>
    </row>
    <row r="9" spans="1:49" ht="18" customHeight="1" x14ac:dyDescent="0.2">
      <c r="B9" s="3" t="s">
        <v>17</v>
      </c>
      <c r="C9" s="1">
        <v>0.8</v>
      </c>
      <c r="D9" s="905"/>
      <c r="E9" s="906"/>
      <c r="F9" s="495"/>
      <c r="G9" s="409"/>
      <c r="H9" s="185"/>
      <c r="I9" s="910"/>
      <c r="J9" s="911"/>
      <c r="K9" s="127"/>
      <c r="L9" s="387"/>
      <c r="M9" s="386"/>
      <c r="N9" s="271">
        <f t="shared" si="0"/>
        <v>0</v>
      </c>
      <c r="O9" s="297" t="s">
        <v>18</v>
      </c>
      <c r="P9" s="298">
        <f>SUM(P7:P8)</f>
        <v>0</v>
      </c>
      <c r="Q9" s="298">
        <f>SUM(Q7:Q8)</f>
        <v>0</v>
      </c>
      <c r="R9" s="299"/>
      <c r="T9" s="332">
        <f>+IF(G9="",0*F9,IF(G9="A",F9*C9,IF(G9="M",F9*12*C9,IF(G9="B",F9*24*C9,IF(G9="F",F9*26*C9,IF(G9="W",F9*52*C9))))))*U9</f>
        <v>0</v>
      </c>
      <c r="U9" s="227" t="b">
        <f t="shared" ref="U9:U19" si="5">+IF(F9&gt;0,IF(G9="","error",1))</f>
        <v>0</v>
      </c>
      <c r="V9" s="332">
        <f t="shared" si="1"/>
        <v>0</v>
      </c>
      <c r="W9" s="116" t="b">
        <f t="shared" si="2"/>
        <v>0</v>
      </c>
      <c r="X9" s="228">
        <f>+(T9/C9*100%)/12</f>
        <v>0</v>
      </c>
      <c r="Y9" s="227">
        <f t="shared" si="3"/>
        <v>0</v>
      </c>
      <c r="Z9" s="227">
        <f t="shared" si="4"/>
        <v>0</v>
      </c>
      <c r="AT9" s="200"/>
      <c r="AU9" s="201"/>
      <c r="AV9" s="201"/>
      <c r="AW9" s="201"/>
    </row>
    <row r="10" spans="1:49" ht="18" customHeight="1" x14ac:dyDescent="0.2">
      <c r="B10" s="3" t="s">
        <v>19</v>
      </c>
      <c r="C10" s="95">
        <v>1</v>
      </c>
      <c r="D10" s="901"/>
      <c r="E10" s="902"/>
      <c r="F10" s="495"/>
      <c r="G10" s="409"/>
      <c r="H10" s="185"/>
      <c r="I10" s="867" t="s">
        <v>20</v>
      </c>
      <c r="J10" s="868"/>
      <c r="K10" s="868"/>
      <c r="L10" s="869"/>
      <c r="M10" s="263"/>
      <c r="N10" s="262"/>
      <c r="O10" s="300" t="s">
        <v>21</v>
      </c>
      <c r="P10" s="301">
        <f>+C50/12</f>
        <v>0</v>
      </c>
      <c r="Q10" s="301">
        <f>+C48</f>
        <v>0</v>
      </c>
      <c r="R10" s="302"/>
      <c r="T10" s="332">
        <f t="shared" ref="T10:T13" si="6">+IF(G10="",0*F10,IF(G10="A",F10*C10,IF(G10="M",F10*12*C10,IF(G10="B",F10*24*C10,IF(G10="F",F10*26*C10,IF(G10="W",F10*52*C10))))))*U10</f>
        <v>0</v>
      </c>
      <c r="U10" s="227" t="b">
        <f t="shared" si="5"/>
        <v>0</v>
      </c>
      <c r="V10" s="227"/>
      <c r="X10" s="228">
        <f t="shared" ref="X10:X13" si="7">+(T10/C10*100%)/12</f>
        <v>0</v>
      </c>
      <c r="Y10" s="203"/>
      <c r="Z10" s="203"/>
      <c r="AA10" s="204"/>
      <c r="AB10" s="204"/>
      <c r="AT10" s="202"/>
      <c r="AU10" s="201"/>
      <c r="AV10" s="201"/>
      <c r="AW10" s="201"/>
    </row>
    <row r="11" spans="1:49" ht="18" customHeight="1" x14ac:dyDescent="0.2">
      <c r="B11" s="3" t="s">
        <v>22</v>
      </c>
      <c r="C11" s="1">
        <v>0.8</v>
      </c>
      <c r="D11" s="897"/>
      <c r="E11" s="898"/>
      <c r="F11" s="495"/>
      <c r="G11" s="409"/>
      <c r="H11" s="185"/>
      <c r="I11" s="205" t="s">
        <v>23</v>
      </c>
      <c r="J11" s="206" t="s">
        <v>24</v>
      </c>
      <c r="K11" s="206" t="s">
        <v>16</v>
      </c>
      <c r="L11" s="177" t="s">
        <v>25</v>
      </c>
      <c r="M11" s="385" t="s">
        <v>6</v>
      </c>
      <c r="N11" s="262"/>
      <c r="O11" s="303"/>
      <c r="P11" s="304"/>
      <c r="Q11" s="304"/>
      <c r="R11" s="302"/>
      <c r="T11" s="332">
        <f t="shared" si="6"/>
        <v>0</v>
      </c>
      <c r="U11" s="227" t="b">
        <f t="shared" si="5"/>
        <v>0</v>
      </c>
      <c r="V11" s="332"/>
      <c r="X11" s="228">
        <f t="shared" si="7"/>
        <v>0</v>
      </c>
      <c r="Y11" s="203"/>
      <c r="Z11" s="203"/>
      <c r="AA11" s="204"/>
      <c r="AB11" s="204"/>
      <c r="AT11" s="202"/>
      <c r="AU11" s="201"/>
      <c r="AV11" s="201"/>
      <c r="AW11" s="201"/>
    </row>
    <row r="12" spans="1:49" ht="18" customHeight="1" x14ac:dyDescent="0.2">
      <c r="B12" s="3" t="s">
        <v>26</v>
      </c>
      <c r="C12" s="76">
        <v>1</v>
      </c>
      <c r="D12" s="897"/>
      <c r="E12" s="898"/>
      <c r="F12" s="495"/>
      <c r="G12" s="409"/>
      <c r="H12" s="185"/>
      <c r="I12" s="3" t="s">
        <v>27</v>
      </c>
      <c r="J12" s="207"/>
      <c r="K12" s="171"/>
      <c r="L12" s="74"/>
      <c r="M12" s="386"/>
      <c r="N12" s="218"/>
      <c r="O12" s="305" t="s">
        <v>11</v>
      </c>
      <c r="P12" s="306" t="s">
        <v>28</v>
      </c>
      <c r="Q12" s="306" t="s">
        <v>16</v>
      </c>
      <c r="R12" s="299"/>
      <c r="T12" s="332">
        <f t="shared" si="6"/>
        <v>0</v>
      </c>
      <c r="U12" s="227" t="b">
        <f t="shared" si="5"/>
        <v>0</v>
      </c>
      <c r="V12" s="332">
        <f t="shared" ref="V12:V13" si="8">+IF(K12="",0*J12,IF(K12="A",J12/12,IF(K12="M",J12,IF(K12="B",J12*24/12,IF(K12="F",J12*26/12,IF(K12="W",J12*52/12))))))*W12</f>
        <v>0</v>
      </c>
      <c r="W12" s="116" t="b">
        <f t="shared" ref="W12:W13" si="9">+IF(J12&gt;0,IF(K12="","error",1))</f>
        <v>0</v>
      </c>
      <c r="X12" s="228">
        <f t="shared" si="7"/>
        <v>0</v>
      </c>
      <c r="Y12" s="227">
        <f t="shared" ref="Y12:Y13" si="10">+SUMIF(M12,"App 1",V12)</f>
        <v>0</v>
      </c>
      <c r="Z12" s="227">
        <f t="shared" ref="Z12:Z13" si="11">+SUMIF(M12,"App 2",V12)</f>
        <v>0</v>
      </c>
      <c r="AA12" s="204"/>
      <c r="AB12" s="204"/>
      <c r="AT12" s="200"/>
      <c r="AU12" s="201"/>
      <c r="AV12" s="201"/>
      <c r="AW12" s="201"/>
    </row>
    <row r="13" spans="1:49" ht="18" customHeight="1" x14ac:dyDescent="0.2">
      <c r="B13" s="11" t="s">
        <v>29</v>
      </c>
      <c r="C13" s="76">
        <v>0.5</v>
      </c>
      <c r="D13" s="899"/>
      <c r="E13" s="900"/>
      <c r="F13" s="495"/>
      <c r="G13" s="409"/>
      <c r="H13" s="185"/>
      <c r="I13" s="3" t="s">
        <v>30</v>
      </c>
      <c r="J13" s="207"/>
      <c r="K13" s="171"/>
      <c r="L13" s="74"/>
      <c r="M13" s="386"/>
      <c r="N13" s="264"/>
      <c r="O13" s="307" t="s">
        <v>31</v>
      </c>
      <c r="P13" s="308"/>
      <c r="Q13" s="424">
        <f>+G8</f>
        <v>0</v>
      </c>
      <c r="R13" s="309"/>
      <c r="T13" s="332">
        <f t="shared" si="6"/>
        <v>0</v>
      </c>
      <c r="U13" s="227" t="b">
        <f t="shared" si="5"/>
        <v>0</v>
      </c>
      <c r="V13" s="332">
        <f t="shared" si="8"/>
        <v>0</v>
      </c>
      <c r="W13" s="116" t="b">
        <f t="shared" si="9"/>
        <v>0</v>
      </c>
      <c r="X13" s="228">
        <f t="shared" si="7"/>
        <v>0</v>
      </c>
      <c r="Y13" s="227">
        <f t="shared" si="10"/>
        <v>0</v>
      </c>
      <c r="Z13" s="227">
        <f t="shared" si="11"/>
        <v>0</v>
      </c>
      <c r="AA13" s="204"/>
      <c r="AB13" s="204"/>
      <c r="AT13" s="200"/>
    </row>
    <row r="14" spans="1:49" ht="18" customHeight="1" thickBot="1" x14ac:dyDescent="0.25">
      <c r="B14" s="198" t="s">
        <v>3</v>
      </c>
      <c r="C14" s="75"/>
      <c r="D14" s="901"/>
      <c r="E14" s="902"/>
      <c r="F14" s="495"/>
      <c r="G14" s="409"/>
      <c r="H14" s="185"/>
      <c r="I14" s="538">
        <v>0.8</v>
      </c>
      <c r="J14" s="903" t="s">
        <v>32</v>
      </c>
      <c r="K14" s="904"/>
      <c r="L14" s="2">
        <f>V14</f>
        <v>0</v>
      </c>
      <c r="M14" s="261"/>
      <c r="N14" s="265"/>
      <c r="O14" s="300" t="s">
        <v>33</v>
      </c>
      <c r="P14" s="565">
        <v>45473</v>
      </c>
      <c r="Q14" s="315">
        <f>(P13-P14)</f>
        <v>-45473</v>
      </c>
      <c r="R14" s="311"/>
      <c r="T14" s="332">
        <f>+IF(G14="",+F9*0,IF(G14="A",F14,IF(G14="M",F14*12,IF(G14="B",F14*24,IF(G14="F",F14*26,IF(G14="W",F14*52))))))*U14</f>
        <v>0</v>
      </c>
      <c r="U14" s="227" t="b">
        <f t="shared" si="5"/>
        <v>0</v>
      </c>
      <c r="V14" s="227">
        <f>SUM(V12:V13)</f>
        <v>0</v>
      </c>
      <c r="X14" s="227">
        <f>+T14/12</f>
        <v>0</v>
      </c>
      <c r="Z14" s="203"/>
      <c r="AA14" s="204"/>
      <c r="AB14" s="204"/>
      <c r="AT14" s="200"/>
    </row>
    <row r="15" spans="1:49" ht="18" customHeight="1" x14ac:dyDescent="0.2">
      <c r="B15" s="3" t="s">
        <v>17</v>
      </c>
      <c r="C15" s="1">
        <v>0.8</v>
      </c>
      <c r="D15" s="905"/>
      <c r="E15" s="906"/>
      <c r="F15" s="495"/>
      <c r="G15" s="409"/>
      <c r="H15" s="185"/>
      <c r="I15" s="839" t="s">
        <v>34</v>
      </c>
      <c r="J15" s="840"/>
      <c r="K15" s="840"/>
      <c r="L15" s="841"/>
      <c r="M15" s="261"/>
      <c r="N15" s="266"/>
      <c r="O15" s="312" t="s">
        <v>35</v>
      </c>
      <c r="P15" s="306">
        <f>ROUNDDOWN(+IF(Q13="",0*Q14,IF(Q13="M",Q14/30.3,IF(Q13="B",Q14/15,IF(Q13="F",Q14/14+1,IF(Q13="W",Q14/7))))),0)</f>
        <v>0</v>
      </c>
      <c r="R15" s="313"/>
      <c r="T15" s="332">
        <f>+IF(G15="",0*F15,IF(G15="A",F15*C15,IF(G15="M",F15*12*C15,IF(G15="B",F15*24*C15,IF(G15="F",F15*26*C15,IF(G15="W",F15*52*C15))))))*U15</f>
        <v>0</v>
      </c>
      <c r="U15" s="227" t="b">
        <f t="shared" si="5"/>
        <v>0</v>
      </c>
      <c r="V15" s="227"/>
      <c r="X15" s="228">
        <f>+(T15/C15*100%)/12</f>
        <v>0</v>
      </c>
      <c r="Z15" s="204"/>
      <c r="AA15" s="204"/>
      <c r="AB15" s="204"/>
      <c r="AT15" s="200"/>
    </row>
    <row r="16" spans="1:49" ht="18" customHeight="1" x14ac:dyDescent="0.2">
      <c r="B16" s="3" t="s">
        <v>19</v>
      </c>
      <c r="C16" s="95">
        <v>1</v>
      </c>
      <c r="D16" s="901"/>
      <c r="E16" s="902"/>
      <c r="F16" s="495"/>
      <c r="G16" s="173"/>
      <c r="H16" s="185"/>
      <c r="I16" s="164" t="s">
        <v>36</v>
      </c>
      <c r="J16" s="75">
        <v>2</v>
      </c>
      <c r="K16" s="423"/>
      <c r="L16" s="384" t="s">
        <v>37</v>
      </c>
      <c r="M16" s="267" t="e">
        <f>+L17+#REF!</f>
        <v>#REF!</v>
      </c>
      <c r="N16" s="183"/>
      <c r="O16" s="305" t="s">
        <v>12</v>
      </c>
      <c r="P16" s="306" t="s">
        <v>28</v>
      </c>
      <c r="Q16" s="306" t="s">
        <v>16</v>
      </c>
      <c r="R16" s="314"/>
      <c r="T16" s="332">
        <f t="shared" ref="T16:T19" si="12">+IF(G16="",0*F16,IF(G16="A",F16*C16,IF(G16="M",F16*12*C16,IF(G16="B",F16*24*C16,IF(G16="F",F16*26*C16,IF(G16="W",F16*52*C16))))))*U16</f>
        <v>0</v>
      </c>
      <c r="U16" s="227" t="b">
        <f t="shared" si="5"/>
        <v>0</v>
      </c>
      <c r="V16" s="227"/>
      <c r="X16" s="228">
        <f t="shared" ref="X16:X19" si="13">+(T16/C16*100%)/12</f>
        <v>0</v>
      </c>
      <c r="Z16" s="204"/>
      <c r="AA16" s="204"/>
      <c r="AB16" s="204"/>
      <c r="AC16" s="209"/>
      <c r="AT16" s="200"/>
    </row>
    <row r="17" spans="1:50" ht="18" customHeight="1" x14ac:dyDescent="0.2">
      <c r="B17" s="3" t="s">
        <v>22</v>
      </c>
      <c r="C17" s="1">
        <v>0.8</v>
      </c>
      <c r="D17" s="897"/>
      <c r="E17" s="898"/>
      <c r="F17" s="495"/>
      <c r="G17" s="173"/>
      <c r="H17" s="185"/>
      <c r="I17" s="164" t="s">
        <v>38</v>
      </c>
      <c r="J17" s="75">
        <v>0</v>
      </c>
      <c r="K17" s="381" t="s">
        <v>39</v>
      </c>
      <c r="L17" s="15" t="e">
        <f>+IF(Tables!H284&gt;0,+Tables!H284,"ERROR")</f>
        <v>#REF!</v>
      </c>
      <c r="M17" s="267"/>
      <c r="N17" s="183"/>
      <c r="O17" s="307" t="s">
        <v>31</v>
      </c>
      <c r="P17" s="308"/>
      <c r="Q17" s="424">
        <f>+G14</f>
        <v>0</v>
      </c>
      <c r="R17" s="314"/>
      <c r="T17" s="332">
        <f t="shared" si="12"/>
        <v>0</v>
      </c>
      <c r="U17" s="227" t="b">
        <f t="shared" si="5"/>
        <v>0</v>
      </c>
      <c r="V17" s="227"/>
      <c r="X17" s="228">
        <f t="shared" si="13"/>
        <v>0</v>
      </c>
      <c r="Z17" s="204"/>
      <c r="AA17" s="204"/>
      <c r="AB17" s="204"/>
      <c r="AC17" s="209"/>
      <c r="AT17" s="200"/>
    </row>
    <row r="18" spans="1:50" ht="18" customHeight="1" x14ac:dyDescent="0.2">
      <c r="B18" s="3" t="s">
        <v>26</v>
      </c>
      <c r="C18" s="76">
        <v>0.8</v>
      </c>
      <c r="D18" s="897"/>
      <c r="E18" s="898"/>
      <c r="F18" s="495"/>
      <c r="G18" s="173"/>
      <c r="H18" s="185"/>
      <c r="I18" s="164" t="s">
        <v>40</v>
      </c>
      <c r="J18" s="406" t="s">
        <v>271</v>
      </c>
      <c r="K18" s="560" t="s">
        <v>41</v>
      </c>
      <c r="L18" s="15">
        <f>+IF('Living Expenses'!E32=0,"ERROR",'Living Expenses'!E32)</f>
        <v>1</v>
      </c>
      <c r="M18" s="261"/>
      <c r="N18" s="183"/>
      <c r="O18" s="300" t="s">
        <v>33</v>
      </c>
      <c r="P18" s="565">
        <v>45473</v>
      </c>
      <c r="Q18" s="315">
        <f>(P17-P18)</f>
        <v>-45473</v>
      </c>
      <c r="R18" s="314"/>
      <c r="T18" s="332">
        <f t="shared" si="12"/>
        <v>0</v>
      </c>
      <c r="U18" s="227" t="b">
        <f t="shared" si="5"/>
        <v>0</v>
      </c>
      <c r="V18" s="227"/>
      <c r="X18" s="228">
        <f t="shared" si="13"/>
        <v>0</v>
      </c>
      <c r="Z18" s="204"/>
      <c r="AA18" s="204"/>
      <c r="AB18" s="204"/>
      <c r="AC18" s="209"/>
    </row>
    <row r="19" spans="1:50" ht="18" customHeight="1" thickBot="1" x14ac:dyDescent="0.25">
      <c r="B19" s="12" t="s">
        <v>29</v>
      </c>
      <c r="C19" s="77">
        <v>0.5</v>
      </c>
      <c r="D19" s="907"/>
      <c r="E19" s="908"/>
      <c r="F19" s="496"/>
      <c r="G19" s="175"/>
      <c r="H19" s="185"/>
      <c r="I19" s="382" t="s">
        <v>42</v>
      </c>
      <c r="J19" s="406" t="s">
        <v>271</v>
      </c>
      <c r="K19" s="383" t="s">
        <v>43</v>
      </c>
      <c r="L19" s="15">
        <f>+IF('Living Expenses'!I32=0,"ERROR",'Living Expenses'!I32)</f>
        <v>1</v>
      </c>
      <c r="M19" s="261"/>
      <c r="N19" s="183"/>
      <c r="O19" s="316" t="s">
        <v>35</v>
      </c>
      <c r="P19" s="317">
        <f>ROUNDDOWN(+IF(Q17="",0*Q18,IF(Q17="M",Q18/30.3,IF(Q17="B",Q18/15,IF(Q17="F",Q18/14+1,IF(Q17="W",Q18/7))))),0)</f>
        <v>0</v>
      </c>
      <c r="Q19" s="318"/>
      <c r="R19" s="319"/>
      <c r="S19" s="331" t="str">
        <f>+CONCATENATE(J20,J16,"+",J17)</f>
        <v>Brisbane2+0</v>
      </c>
      <c r="T19" s="332">
        <f t="shared" si="12"/>
        <v>0</v>
      </c>
      <c r="U19" s="227" t="b">
        <f t="shared" si="5"/>
        <v>0</v>
      </c>
      <c r="V19" s="227"/>
      <c r="W19" s="204"/>
      <c r="X19" s="228">
        <f t="shared" si="13"/>
        <v>0</v>
      </c>
      <c r="AC19" s="209"/>
    </row>
    <row r="20" spans="1:50" ht="18" customHeight="1" thickBot="1" x14ac:dyDescent="0.25">
      <c r="B20" s="149"/>
      <c r="C20" s="396"/>
      <c r="D20" s="941" t="s">
        <v>293</v>
      </c>
      <c r="E20" s="941"/>
      <c r="F20" s="490">
        <v>0</v>
      </c>
      <c r="G20" s="399"/>
      <c r="H20" s="185"/>
      <c r="I20" s="164" t="s">
        <v>44</v>
      </c>
      <c r="J20" s="909" t="s">
        <v>230</v>
      </c>
      <c r="K20" s="909"/>
      <c r="L20" s="407" t="e">
        <f>IF(L17="ERROR","ERROR",IF(L18="ERROR","ERROR",IF(L19="ERROR","ERROR",+MAX(L17:L19))))</f>
        <v>#REF!</v>
      </c>
      <c r="M20" s="261"/>
      <c r="N20" s="183"/>
      <c r="O20" s="388"/>
      <c r="P20" s="306"/>
      <c r="S20" s="331"/>
      <c r="T20" s="332"/>
      <c r="U20" s="227"/>
      <c r="V20" s="227"/>
      <c r="W20" s="204"/>
      <c r="X20" s="228"/>
      <c r="AC20" s="209"/>
    </row>
    <row r="21" spans="1:50" ht="6" customHeight="1" thickBot="1" x14ac:dyDescent="0.25">
      <c r="B21" s="190"/>
      <c r="C21" s="185"/>
      <c r="D21" s="185"/>
      <c r="E21" s="185"/>
      <c r="F21" s="185"/>
      <c r="G21" s="185"/>
      <c r="H21" s="185"/>
      <c r="I21" s="185"/>
      <c r="J21" s="185"/>
      <c r="K21" s="185"/>
      <c r="L21" s="185"/>
      <c r="M21" s="261"/>
      <c r="N21" s="183"/>
      <c r="T21" s="227"/>
      <c r="U21" s="227"/>
      <c r="V21" s="227"/>
      <c r="AT21" s="210"/>
      <c r="AU21" s="210"/>
      <c r="AV21" s="211"/>
      <c r="AW21" s="211"/>
    </row>
    <row r="22" spans="1:50" ht="18" customHeight="1" thickBot="1" x14ac:dyDescent="0.25">
      <c r="B22" s="894" t="s">
        <v>45</v>
      </c>
      <c r="C22" s="895"/>
      <c r="D22" s="895"/>
      <c r="E22" s="895"/>
      <c r="F22" s="895"/>
      <c r="G22" s="895"/>
      <c r="H22" s="895"/>
      <c r="I22" s="895"/>
      <c r="J22" s="895"/>
      <c r="K22" s="895"/>
      <c r="L22" s="896"/>
      <c r="M22" s="261"/>
      <c r="N22" s="183"/>
      <c r="T22" s="227">
        <f>+T8+T9/C9+T10/C10+T11/C11+T12/C12+T13/C13+T14+T15/C15+T16/C16+T17/C17+T18/C18+T19/C19</f>
        <v>0</v>
      </c>
      <c r="U22" s="227"/>
      <c r="V22" s="227">
        <f>(SUM(V7:V19)-V14)*12</f>
        <v>0</v>
      </c>
      <c r="AT22" s="210"/>
      <c r="AU22" s="210"/>
      <c r="AV22" s="211"/>
      <c r="AW22" s="211"/>
    </row>
    <row r="23" spans="1:50" ht="35.25" customHeight="1" x14ac:dyDescent="0.2">
      <c r="B23" s="391" t="s">
        <v>46</v>
      </c>
      <c r="C23" s="392" t="s">
        <v>47</v>
      </c>
      <c r="D23" s="392" t="s">
        <v>48</v>
      </c>
      <c r="E23" s="392" t="s">
        <v>49</v>
      </c>
      <c r="F23" s="392" t="s">
        <v>50</v>
      </c>
      <c r="G23" s="392" t="s">
        <v>51</v>
      </c>
      <c r="H23" s="392" t="s">
        <v>52</v>
      </c>
      <c r="I23" s="392" t="s">
        <v>53</v>
      </c>
      <c r="J23" s="394" t="e">
        <f>+CONCATENATE("Repay pm ",T24)</f>
        <v>#N/A</v>
      </c>
      <c r="K23" s="392" t="s">
        <v>54</v>
      </c>
      <c r="L23" s="393" t="s">
        <v>55</v>
      </c>
      <c r="M23" s="9" t="s">
        <v>56</v>
      </c>
      <c r="N23" s="415" t="s">
        <v>57</v>
      </c>
      <c r="O23" s="561" t="s">
        <v>58</v>
      </c>
      <c r="S23" s="116" t="s">
        <v>61</v>
      </c>
      <c r="T23" s="214" t="e">
        <f>+IF(J19="Yes",VLOOKUP(D24,NSRRate,5,FALSE),VLOOKUP(D24,NSRRate,4,FALSE))</f>
        <v>#N/A</v>
      </c>
      <c r="U23" s="214"/>
      <c r="V23" s="395"/>
      <c r="AT23" s="210"/>
      <c r="AU23" s="210"/>
      <c r="AV23" s="211"/>
      <c r="AW23" s="211"/>
      <c r="AX23" s="212"/>
    </row>
    <row r="24" spans="1:50" ht="18" customHeight="1" x14ac:dyDescent="0.2">
      <c r="A24" s="337" t="e">
        <f>IF(H24="Y","Y","")</f>
        <v>#N/A</v>
      </c>
      <c r="B24" s="3" t="s">
        <v>60</v>
      </c>
      <c r="C24" s="363"/>
      <c r="D24" s="448"/>
      <c r="E24" s="411" t="e">
        <f>+VLOOKUP(D24,Rates,3,FALSE)-F20</f>
        <v>#N/A</v>
      </c>
      <c r="F24" s="4" t="s">
        <v>61</v>
      </c>
      <c r="G24" s="87">
        <v>360</v>
      </c>
      <c r="H24" s="436" t="e">
        <f>+VLOOKUP(D24,Tables!A155:F268,6,FALSE)</f>
        <v>#N/A</v>
      </c>
      <c r="I24" s="5" t="e">
        <f>+IF(C24=0,0,IF(D24="Flexicredit",C24*0.05,IF(D24="Credit Card",-PMT(E24/12,36,C24,0),-PMT(E24/12,G24,C24,0))))+P24</f>
        <v>#N/A</v>
      </c>
      <c r="J24" s="5" t="e">
        <f>+IF(C24=0,0,IF(D24="Flexicredit",C24*0.05,IF(D24="Credit Card",-PMT(E24/12,36,C24,0),-PMT($T$24/12,G24,C24,0))))+P24</f>
        <v>#N/A</v>
      </c>
      <c r="K24" s="411" t="str">
        <f>+IF(L24=0," ",C24/L24)</f>
        <v xml:space="preserve"> </v>
      </c>
      <c r="L24" s="83"/>
      <c r="M24" s="328" t="e">
        <f>IF(H24="IO",+J24-I24,IF(J19="YES",J24-V24,0))</f>
        <v>#N/A</v>
      </c>
      <c r="N24" s="327"/>
      <c r="O24" s="414" t="e">
        <f>+IF(J24&gt;I24,J24/I24,"")</f>
        <v>#N/A</v>
      </c>
      <c r="P24" s="437" t="e">
        <f>+VLOOKUP(D24,Tables!A155:G268,7,FALSE)</f>
        <v>#N/A</v>
      </c>
      <c r="S24" s="116" t="e">
        <f t="shared" ref="S24:S34" si="14">+IF(F24="MOVE",IF(A24="Y",0,C24))</f>
        <v>#N/A</v>
      </c>
      <c r="T24" s="214" t="e">
        <f>+IF($J$19="","ERROR",IF($J$19="Yes",VLOOKUP($D$24,NSRRate,5,FALSE),VLOOKUP($D$24,NSRRate,4,FALSE)))</f>
        <v>#N/A</v>
      </c>
      <c r="U24" s="214" t="e">
        <f>+VLOOKUP($D$24,NSRRate,4,FALSE)</f>
        <v>#N/A</v>
      </c>
      <c r="V24" s="400" t="e">
        <f>-PMT($U$24/12,G24,C24,0)</f>
        <v>#N/A</v>
      </c>
      <c r="W24" s="214" t="e">
        <f>+T24-E24</f>
        <v>#N/A</v>
      </c>
      <c r="AS24" s="211"/>
      <c r="AT24" s="210"/>
      <c r="AU24" s="210"/>
    </row>
    <row r="25" spans="1:50" ht="18" customHeight="1" x14ac:dyDescent="0.2">
      <c r="A25" s="337" t="str">
        <f>IF(H25="Y","Y","")</f>
        <v/>
      </c>
      <c r="B25" s="3" t="s">
        <v>62</v>
      </c>
      <c r="C25" s="364"/>
      <c r="D25" s="81"/>
      <c r="E25" s="80"/>
      <c r="F25" s="81"/>
      <c r="G25" s="79"/>
      <c r="H25" s="128"/>
      <c r="I25" s="6">
        <f>+IF(C25=0,0,IF(H25="Y",0,IF(H25=0.5,-(PMT(E25/12,G25,C25,0)*H25),-(PMT(E25/12,G25,C25,0)))))</f>
        <v>0</v>
      </c>
      <c r="J25" s="6">
        <f>+IF(C25=0,0,+IF(H25="Y",0,IF(H25=0.5,-(PMT(T25/12,G25,C25,0)*H25),-(PMT(T25/12,G25,C25,0)))))</f>
        <v>0</v>
      </c>
      <c r="K25" s="489">
        <f>+IF(C25=0,0,C25/L25)</f>
        <v>0</v>
      </c>
      <c r="L25" s="83"/>
      <c r="M25" s="329">
        <f>+J25-I25</f>
        <v>0</v>
      </c>
      <c r="N25" s="327"/>
      <c r="O25" s="414" t="str">
        <f t="shared" ref="O25:O28" si="15">+IF(J25&gt;I25,J25/I25,"")</f>
        <v/>
      </c>
      <c r="P25" s="215"/>
      <c r="S25" s="116" t="b">
        <f t="shared" si="14"/>
        <v>0</v>
      </c>
      <c r="T25" s="214">
        <f>IF((E25+Tables!$C$151)&lt;Tables!$C$152,Tables!$C$152,E25+Tables!$C$151)</f>
        <v>5.5E-2</v>
      </c>
      <c r="U25" s="216"/>
      <c r="AN25" s="217"/>
    </row>
    <row r="26" spans="1:50" ht="18" customHeight="1" x14ac:dyDescent="0.2">
      <c r="A26" s="337" t="str">
        <f t="shared" ref="A26:A39" si="16">IF(H26="Y","Y","")</f>
        <v/>
      </c>
      <c r="B26" s="269" t="s">
        <v>62</v>
      </c>
      <c r="C26" s="364"/>
      <c r="D26" s="81"/>
      <c r="E26" s="80"/>
      <c r="F26" s="81"/>
      <c r="G26" s="79"/>
      <c r="H26" s="128"/>
      <c r="I26" s="6">
        <f>+IF(C26=0,0,IF(H26="Y",0,IF(H26=0.5,-(PMT(E26/12,G26,C26,0)*H26),-(PMT(E26/12,G26,C26,0)))))</f>
        <v>0</v>
      </c>
      <c r="J26" s="6">
        <f>+IF(C26=0,0,+IF(H26="Y",0,IF(H26=0.5,-(PMT(T26/12,G26,C26,0)*H26),-(PMT(T26/12,G26,C26,0)))))</f>
        <v>0</v>
      </c>
      <c r="K26" s="489">
        <f>+IF(C26=0,0,C26/L26)</f>
        <v>0</v>
      </c>
      <c r="L26" s="83"/>
      <c r="M26" s="329">
        <f t="shared" ref="M26:M28" si="17">+J26-I26</f>
        <v>0</v>
      </c>
      <c r="N26" s="327"/>
      <c r="O26" s="414" t="str">
        <f t="shared" si="15"/>
        <v/>
      </c>
      <c r="P26" s="215"/>
      <c r="S26" s="116" t="b">
        <f t="shared" si="14"/>
        <v>0</v>
      </c>
      <c r="T26" s="214">
        <f>IF((E26+Tables!$C$151)&lt;Tables!$C$152,Tables!$C$152,E26+Tables!$C$151)</f>
        <v>5.5E-2</v>
      </c>
      <c r="U26" s="216"/>
    </row>
    <row r="27" spans="1:50" ht="18" customHeight="1" x14ac:dyDescent="0.2">
      <c r="A27" s="337" t="str">
        <f t="shared" si="16"/>
        <v/>
      </c>
      <c r="B27" s="269" t="s">
        <v>63</v>
      </c>
      <c r="C27" s="364"/>
      <c r="D27" s="81"/>
      <c r="E27" s="80"/>
      <c r="F27" s="81"/>
      <c r="G27" s="79"/>
      <c r="H27" s="128"/>
      <c r="I27" s="6">
        <f>+IF(C27=0,0,IF(H27="Y",0,IF(H27=0.5,-(PMT(E27/12,G27,C27,0)*H27),-(PMT(E27/12,G27,C27,0)))))</f>
        <v>0</v>
      </c>
      <c r="J27" s="6">
        <f>+IF(C27=0,0,+IF(H27="Y",0,IF(H27=0.5,-(PMT(T27/12,G27,C27,0)*H27),-(PMT(T27/12,G27,C27,0)))))</f>
        <v>0</v>
      </c>
      <c r="K27" s="489">
        <f>+IF(C27=0,0,C27/L27)</f>
        <v>0</v>
      </c>
      <c r="L27" s="83"/>
      <c r="M27" s="329">
        <f t="shared" si="17"/>
        <v>0</v>
      </c>
      <c r="N27" s="327"/>
      <c r="O27" s="414" t="str">
        <f t="shared" si="15"/>
        <v/>
      </c>
      <c r="P27" s="215"/>
      <c r="R27" s="213"/>
      <c r="S27" s="116" t="b">
        <f t="shared" si="14"/>
        <v>0</v>
      </c>
      <c r="T27" s="214">
        <f>IF((E27+Tables!$C$151)&lt;Tables!$C$152,Tables!$C$152,E27+Tables!$C$151)</f>
        <v>5.5E-2</v>
      </c>
      <c r="U27" s="216"/>
      <c r="AN27" s="216"/>
    </row>
    <row r="28" spans="1:50" ht="18" customHeight="1" x14ac:dyDescent="0.2">
      <c r="A28" s="337" t="str">
        <f t="shared" si="16"/>
        <v/>
      </c>
      <c r="B28" s="269" t="s">
        <v>63</v>
      </c>
      <c r="C28" s="364"/>
      <c r="D28" s="81"/>
      <c r="E28" s="80"/>
      <c r="F28" s="81"/>
      <c r="G28" s="79"/>
      <c r="H28" s="128"/>
      <c r="I28" s="6">
        <f>+IF(C28=0,0,IF(H28="Y",0,IF(H28=0.5,-(PMT(E28/12,G28,C28,0)*H28),-(PMT(E28/12,G28,C28,0)))))</f>
        <v>0</v>
      </c>
      <c r="J28" s="6">
        <f>+IF(C28=0,0,+IF(H28="Y",0,IF(H28=0.5,-(PMT(T28/12,G28,C28,0)*H28),-(PMT(T28/12,G28,C28,0)))))</f>
        <v>0</v>
      </c>
      <c r="K28" s="489">
        <f>+IF(C28=0,0,C28/L28)</f>
        <v>0</v>
      </c>
      <c r="L28" s="83"/>
      <c r="M28" s="329">
        <f t="shared" si="17"/>
        <v>0</v>
      </c>
      <c r="N28" s="327"/>
      <c r="O28" s="414" t="str">
        <f t="shared" si="15"/>
        <v/>
      </c>
      <c r="P28" s="215"/>
      <c r="R28" s="213"/>
      <c r="S28" s="116" t="b">
        <f t="shared" si="14"/>
        <v>0</v>
      </c>
      <c r="T28" s="214">
        <f>IF((E28+Tables!$C$151)&lt;Tables!$C$152,Tables!$C$152,E28+Tables!$C$151)</f>
        <v>5.5E-2</v>
      </c>
      <c r="U28" s="216"/>
    </row>
    <row r="29" spans="1:50" ht="18" customHeight="1" x14ac:dyDescent="0.2">
      <c r="A29" s="337" t="str">
        <f t="shared" si="16"/>
        <v/>
      </c>
      <c r="B29" s="8" t="s">
        <v>64</v>
      </c>
      <c r="C29" s="364"/>
      <c r="D29" s="260"/>
      <c r="E29" s="82"/>
      <c r="F29" s="81"/>
      <c r="G29" s="96"/>
      <c r="H29" s="129"/>
      <c r="I29" s="6">
        <f>+IF(H29="Y",0,T29)</f>
        <v>0</v>
      </c>
      <c r="J29" s="6">
        <f t="shared" ref="J29:J39" si="18">+I29</f>
        <v>0</v>
      </c>
      <c r="K29" s="98"/>
      <c r="L29" s="97"/>
      <c r="N29" s="327"/>
      <c r="P29" s="215"/>
      <c r="R29" s="208"/>
      <c r="S29" s="116" t="b">
        <f t="shared" si="14"/>
        <v>0</v>
      </c>
      <c r="T29" s="199">
        <f>+IF(D29="",E29*0,IF(D29="A",E29/12,IF(D29="M",E29,IF(D29="B",E29*24/12,IF(D29="F",E29*26/12,IF(D29="W",E29*52/12))))))*U29</f>
        <v>0</v>
      </c>
      <c r="U29" s="116" t="b">
        <f t="shared" ref="U29:U34" si="19">+IF(E29&gt;0,IF(D29="","Error",1))</f>
        <v>0</v>
      </c>
      <c r="V29" s="208"/>
      <c r="W29" s="208"/>
      <c r="AC29" s="208"/>
      <c r="AD29" s="208"/>
      <c r="AE29" s="208"/>
      <c r="AF29" s="208"/>
      <c r="AG29" s="208"/>
      <c r="AH29" s="208"/>
      <c r="AI29" s="208"/>
      <c r="AJ29" s="208"/>
      <c r="AK29" s="208"/>
      <c r="AL29" s="208"/>
      <c r="AM29" s="208"/>
      <c r="AN29" s="208"/>
      <c r="AO29" s="208"/>
      <c r="AP29" s="218"/>
      <c r="AQ29" s="208"/>
      <c r="AR29" s="208"/>
    </row>
    <row r="30" spans="1:50" ht="18" customHeight="1" x14ac:dyDescent="0.2">
      <c r="A30" s="337" t="str">
        <f t="shared" si="16"/>
        <v/>
      </c>
      <c r="B30" s="270" t="s">
        <v>64</v>
      </c>
      <c r="C30" s="364"/>
      <c r="D30" s="260"/>
      <c r="E30" s="82"/>
      <c r="F30" s="81"/>
      <c r="G30" s="96"/>
      <c r="H30" s="129"/>
      <c r="I30" s="6">
        <f>+IF(H30="Y",0,T30)</f>
        <v>0</v>
      </c>
      <c r="J30" s="6">
        <f t="shared" ref="J30" si="20">+I30</f>
        <v>0</v>
      </c>
      <c r="K30" s="98"/>
      <c r="L30" s="97"/>
      <c r="N30" s="327"/>
      <c r="P30" s="215"/>
      <c r="R30" s="208"/>
      <c r="S30" s="116" t="b">
        <f t="shared" si="14"/>
        <v>0</v>
      </c>
      <c r="T30" s="199">
        <f>+IF(D30="",E30*0,IF(D30="A",E30/12,IF(D30="M",E30,IF(D30="B",E30*24/12,IF(D30="F",E30*26/12,IF(D30="W",E30*52/12))))))*U30</f>
        <v>0</v>
      </c>
      <c r="U30" s="116" t="b">
        <f t="shared" si="19"/>
        <v>0</v>
      </c>
      <c r="V30" s="208"/>
      <c r="W30" s="208"/>
      <c r="AC30" s="208"/>
      <c r="AD30" s="208"/>
      <c r="AE30" s="208"/>
      <c r="AF30" s="208"/>
      <c r="AG30" s="208"/>
      <c r="AH30" s="208"/>
      <c r="AI30" s="208"/>
      <c r="AJ30" s="208"/>
      <c r="AK30" s="208"/>
      <c r="AL30" s="208"/>
      <c r="AM30" s="208"/>
      <c r="AN30" s="208"/>
      <c r="AO30" s="208"/>
      <c r="AP30" s="218"/>
      <c r="AQ30" s="208"/>
      <c r="AR30" s="208"/>
    </row>
    <row r="31" spans="1:50" ht="18" customHeight="1" x14ac:dyDescent="0.2">
      <c r="A31" s="337" t="str">
        <f t="shared" si="16"/>
        <v/>
      </c>
      <c r="B31" s="3" t="s">
        <v>65</v>
      </c>
      <c r="C31" s="364"/>
      <c r="D31" s="260"/>
      <c r="E31" s="82"/>
      <c r="F31" s="81"/>
      <c r="G31" s="96"/>
      <c r="H31" s="129"/>
      <c r="I31" s="6">
        <f>+IF(H31="Y",0,T31)</f>
        <v>0</v>
      </c>
      <c r="J31" s="6">
        <f t="shared" si="18"/>
        <v>0</v>
      </c>
      <c r="K31" s="96"/>
      <c r="L31" s="97"/>
      <c r="N31" s="327"/>
      <c r="P31" s="215"/>
      <c r="R31" s="208"/>
      <c r="S31" s="116" t="b">
        <f t="shared" si="14"/>
        <v>0</v>
      </c>
      <c r="T31" s="199">
        <f>+IF(D31="",E31*0,IF(D31="A",E31/12,IF(D31="M",E31,IF(D31="B",E31*24/12,IF(D31="F",E31*26/12,IF(D31="W",E31*52/12))))))*U31</f>
        <v>0</v>
      </c>
      <c r="U31" s="116" t="b">
        <f t="shared" si="19"/>
        <v>0</v>
      </c>
      <c r="AC31" s="208"/>
      <c r="AD31" s="208"/>
      <c r="AE31" s="208"/>
      <c r="AF31" s="208"/>
      <c r="AG31" s="208"/>
      <c r="AH31" s="208"/>
      <c r="AI31" s="208"/>
      <c r="AJ31" s="208"/>
      <c r="AK31" s="208"/>
      <c r="AL31" s="208"/>
      <c r="AM31" s="208"/>
      <c r="AN31" s="208"/>
      <c r="AO31" s="208"/>
      <c r="AP31" s="218"/>
      <c r="AQ31" s="208"/>
      <c r="AR31" s="208"/>
    </row>
    <row r="32" spans="1:50" ht="18" customHeight="1" x14ac:dyDescent="0.2">
      <c r="A32" s="337" t="str">
        <f t="shared" si="16"/>
        <v/>
      </c>
      <c r="B32" s="16" t="s">
        <v>66</v>
      </c>
      <c r="C32" s="93" t="str">
        <f>+CONCATENATE("Min. $",Tables!C376," pm")</f>
        <v>Min. $500 pm</v>
      </c>
      <c r="D32" s="260"/>
      <c r="E32" s="82"/>
      <c r="F32" s="81"/>
      <c r="G32" s="99"/>
      <c r="H32" s="128"/>
      <c r="I32" s="6">
        <f>+IF(E32="",0,IF(T32&lt;Tables!C376,Tables!C376,IF(H32=0.5,T32*0.5,T32)))</f>
        <v>0</v>
      </c>
      <c r="J32" s="6">
        <f t="shared" si="18"/>
        <v>0</v>
      </c>
      <c r="K32" s="96"/>
      <c r="L32" s="97"/>
      <c r="N32" s="327"/>
      <c r="O32" s="115"/>
      <c r="P32" s="215"/>
      <c r="R32" s="208"/>
      <c r="T32" s="199">
        <f t="shared" ref="T32:T33" si="21">+IF(D32="",E32*0,IF(D32="A",E32/12,IF(D32="M",E32,IF(D32="B",E32*24/12,IF(D32="F",E32*26/12,IF(D32="W",E32*52/12))))))*U32</f>
        <v>0</v>
      </c>
      <c r="U32" s="116" t="b">
        <f t="shared" si="19"/>
        <v>0</v>
      </c>
      <c r="AC32" s="208"/>
      <c r="AD32" s="208"/>
      <c r="AE32" s="208"/>
      <c r="AF32" s="208"/>
      <c r="AG32" s="208"/>
      <c r="AH32" s="208"/>
      <c r="AI32" s="208"/>
      <c r="AJ32" s="208"/>
      <c r="AK32" s="208"/>
      <c r="AL32" s="208"/>
      <c r="AM32" s="208"/>
      <c r="AN32" s="208"/>
      <c r="AO32" s="208"/>
      <c r="AP32" s="218"/>
      <c r="AQ32" s="208"/>
      <c r="AR32" s="208"/>
    </row>
    <row r="33" spans="1:44" ht="18" customHeight="1" x14ac:dyDescent="0.2">
      <c r="A33" s="337" t="str">
        <f t="shared" si="16"/>
        <v/>
      </c>
      <c r="B33" s="3" t="s">
        <v>67</v>
      </c>
      <c r="C33" s="78"/>
      <c r="D33" s="260"/>
      <c r="E33" s="82"/>
      <c r="F33" s="81"/>
      <c r="G33" s="96"/>
      <c r="H33" s="129"/>
      <c r="I33" s="6">
        <f t="shared" ref="I33:I34" si="22">+IF(H33="Y",0,T33)</f>
        <v>0</v>
      </c>
      <c r="J33" s="6">
        <f>+I33</f>
        <v>0</v>
      </c>
      <c r="K33" s="96"/>
      <c r="L33" s="97"/>
      <c r="N33" s="327"/>
      <c r="O33" s="115"/>
      <c r="P33" s="219"/>
      <c r="R33" s="208"/>
      <c r="S33" s="116" t="b">
        <f t="shared" si="14"/>
        <v>0</v>
      </c>
      <c r="T33" s="199">
        <f t="shared" si="21"/>
        <v>0</v>
      </c>
      <c r="U33" s="116" t="b">
        <f t="shared" si="19"/>
        <v>0</v>
      </c>
      <c r="V33" s="412"/>
      <c r="W33" s="208"/>
      <c r="AC33" s="208"/>
      <c r="AD33" s="208"/>
      <c r="AE33" s="208"/>
      <c r="AF33" s="208"/>
      <c r="AG33" s="208"/>
      <c r="AH33" s="208"/>
      <c r="AI33" s="208"/>
      <c r="AJ33" s="208"/>
      <c r="AK33" s="208"/>
      <c r="AL33" s="208"/>
      <c r="AM33" s="208"/>
      <c r="AN33" s="208"/>
      <c r="AO33" s="208"/>
      <c r="AP33" s="218"/>
      <c r="AQ33" s="208"/>
      <c r="AR33" s="208"/>
    </row>
    <row r="34" spans="1:44" ht="18" customHeight="1" x14ac:dyDescent="0.2">
      <c r="A34" s="337" t="str">
        <f t="shared" si="16"/>
        <v/>
      </c>
      <c r="B34" s="3" t="s">
        <v>67</v>
      </c>
      <c r="C34" s="78"/>
      <c r="D34" s="260"/>
      <c r="E34" s="82"/>
      <c r="F34" s="81"/>
      <c r="G34" s="96"/>
      <c r="H34" s="129"/>
      <c r="I34" s="6">
        <f t="shared" si="22"/>
        <v>0</v>
      </c>
      <c r="J34" s="6">
        <f>+I34</f>
        <v>0</v>
      </c>
      <c r="K34" s="96"/>
      <c r="L34" s="97"/>
      <c r="N34" s="327"/>
      <c r="O34" s="115"/>
      <c r="P34" s="219"/>
      <c r="R34" s="208"/>
      <c r="S34" s="116" t="b">
        <f t="shared" si="14"/>
        <v>0</v>
      </c>
      <c r="T34" s="199">
        <f t="shared" ref="T34" si="23">+IF(D34="",E34*0,IF(D34="A",E34/12,IF(D34="M",E34,IF(D34="B",E34*24/12,IF(D34="F",E34*26/12,IF(D34="W",E34*52/12))))))*U34</f>
        <v>0</v>
      </c>
      <c r="U34" s="116" t="b">
        <f t="shared" si="19"/>
        <v>0</v>
      </c>
      <c r="V34" s="412"/>
      <c r="W34" s="208"/>
      <c r="AC34" s="208"/>
      <c r="AD34" s="208"/>
      <c r="AE34" s="208"/>
      <c r="AF34" s="208"/>
      <c r="AG34" s="208"/>
      <c r="AH34" s="208"/>
      <c r="AI34" s="208"/>
      <c r="AJ34" s="208"/>
      <c r="AK34" s="208"/>
      <c r="AL34" s="208"/>
      <c r="AM34" s="208"/>
      <c r="AN34" s="208"/>
      <c r="AO34" s="208"/>
      <c r="AP34" s="218"/>
      <c r="AQ34" s="208"/>
      <c r="AR34" s="208"/>
    </row>
    <row r="35" spans="1:44" ht="18" customHeight="1" x14ac:dyDescent="0.2">
      <c r="A35" s="337" t="str">
        <f t="shared" si="16"/>
        <v/>
      </c>
      <c r="B35" s="269" t="s">
        <v>68</v>
      </c>
      <c r="C35" s="78"/>
      <c r="D35" s="161">
        <f>+IF(B35="overdraft",5%,3.8%)</f>
        <v>0.05</v>
      </c>
      <c r="E35" s="82"/>
      <c r="F35" s="81"/>
      <c r="G35" s="96"/>
      <c r="H35" s="129"/>
      <c r="I35" s="6">
        <f>+IF(H35="Y",0,E35*D35)</f>
        <v>0</v>
      </c>
      <c r="J35" s="6">
        <f t="shared" si="18"/>
        <v>0</v>
      </c>
      <c r="K35" s="96"/>
      <c r="L35" s="97"/>
      <c r="N35" s="327"/>
      <c r="P35" s="219"/>
      <c r="R35" s="208"/>
      <c r="S35" s="116" t="b">
        <f>+IF(F35="MOVE",IF(A35="Y",0,E35))</f>
        <v>0</v>
      </c>
      <c r="T35" s="199"/>
      <c r="W35" s="208"/>
      <c r="AC35" s="208"/>
      <c r="AD35" s="208"/>
      <c r="AE35" s="208"/>
      <c r="AF35" s="208"/>
      <c r="AG35" s="208"/>
      <c r="AH35" s="208"/>
      <c r="AI35" s="208"/>
      <c r="AJ35" s="208"/>
      <c r="AK35" s="208"/>
      <c r="AL35" s="208"/>
      <c r="AM35" s="208"/>
      <c r="AN35" s="208"/>
      <c r="AO35" s="208"/>
      <c r="AP35" s="218"/>
      <c r="AQ35" s="208"/>
      <c r="AR35" s="208"/>
    </row>
    <row r="36" spans="1:44" ht="18" customHeight="1" x14ac:dyDescent="0.2">
      <c r="A36" s="337" t="str">
        <f t="shared" si="16"/>
        <v/>
      </c>
      <c r="B36" s="3" t="s">
        <v>69</v>
      </c>
      <c r="C36" s="78"/>
      <c r="D36" s="536">
        <v>3.7999999999999999E-2</v>
      </c>
      <c r="E36" s="82"/>
      <c r="F36" s="81"/>
      <c r="G36" s="96"/>
      <c r="H36" s="129"/>
      <c r="I36" s="6">
        <f>+IF(H36="Y",0,IF(AND(H36="Exc",C36=0),0,D36*E36))</f>
        <v>0</v>
      </c>
      <c r="J36" s="6">
        <f t="shared" si="18"/>
        <v>0</v>
      </c>
      <c r="K36" s="96"/>
      <c r="L36" s="97"/>
      <c r="M36" s="220"/>
      <c r="N36" s="327"/>
      <c r="O36" s="221"/>
      <c r="P36" s="219"/>
      <c r="Q36" s="221"/>
      <c r="R36" s="221"/>
      <c r="S36" s="116" t="b">
        <f t="shared" ref="S36:S39" si="24">+IF(F36="MOVE",IF(A36="Y",0,E36))</f>
        <v>0</v>
      </c>
      <c r="T36" s="221"/>
      <c r="U36" s="221"/>
      <c r="V36" s="221"/>
      <c r="W36" s="221"/>
      <c r="AC36" s="208"/>
      <c r="AD36" s="208"/>
      <c r="AE36" s="208"/>
      <c r="AF36" s="208"/>
      <c r="AG36" s="208"/>
      <c r="AH36" s="208"/>
      <c r="AI36" s="208"/>
      <c r="AJ36" s="208"/>
      <c r="AK36" s="208"/>
      <c r="AL36" s="208"/>
      <c r="AM36" s="208"/>
      <c r="AN36" s="208"/>
      <c r="AO36" s="208"/>
      <c r="AP36" s="218"/>
      <c r="AQ36" s="208"/>
      <c r="AR36" s="208"/>
    </row>
    <row r="37" spans="1:44" ht="18" customHeight="1" x14ac:dyDescent="0.2">
      <c r="A37" s="337" t="str">
        <f t="shared" si="16"/>
        <v/>
      </c>
      <c r="B37" s="3" t="s">
        <v>69</v>
      </c>
      <c r="C37" s="78"/>
      <c r="D37" s="161">
        <v>3.7999999999999999E-2</v>
      </c>
      <c r="E37" s="82"/>
      <c r="F37" s="81"/>
      <c r="G37" s="96"/>
      <c r="H37" s="129"/>
      <c r="I37" s="6">
        <f>+IF(H37="Y",0,IF(AND(H37="Exc",C37=0),0,D37*E37))</f>
        <v>0</v>
      </c>
      <c r="J37" s="6">
        <f t="shared" ref="J37" si="25">+I37</f>
        <v>0</v>
      </c>
      <c r="K37" s="96"/>
      <c r="L37" s="97"/>
      <c r="M37" s="220"/>
      <c r="N37" s="327"/>
      <c r="O37" s="221"/>
      <c r="P37" s="219"/>
      <c r="Q37" s="221"/>
      <c r="R37" s="221"/>
      <c r="S37" s="116" t="b">
        <f t="shared" si="24"/>
        <v>0</v>
      </c>
      <c r="T37" s="221"/>
      <c r="U37" s="221"/>
      <c r="V37" s="221"/>
      <c r="W37" s="221"/>
      <c r="AC37" s="208"/>
      <c r="AD37" s="208"/>
      <c r="AE37" s="208"/>
      <c r="AF37" s="208"/>
      <c r="AG37" s="208"/>
      <c r="AH37" s="208"/>
      <c r="AI37" s="208"/>
      <c r="AJ37" s="208"/>
      <c r="AK37" s="208"/>
      <c r="AL37" s="208"/>
      <c r="AM37" s="208"/>
      <c r="AN37" s="208"/>
      <c r="AO37" s="208"/>
      <c r="AP37" s="218"/>
      <c r="AQ37" s="208"/>
      <c r="AR37" s="208"/>
    </row>
    <row r="38" spans="1:44" ht="18" customHeight="1" x14ac:dyDescent="0.2">
      <c r="A38" s="337" t="str">
        <f t="shared" si="16"/>
        <v/>
      </c>
      <c r="B38" s="3" t="s">
        <v>69</v>
      </c>
      <c r="C38" s="78"/>
      <c r="D38" s="161">
        <v>3.7999999999999999E-2</v>
      </c>
      <c r="E38" s="82"/>
      <c r="F38" s="81"/>
      <c r="G38" s="96"/>
      <c r="H38" s="129"/>
      <c r="I38" s="6">
        <f>+IF(H38="Y",0,IF(AND(H38="Exc",C38=0),0,D38*E38))</f>
        <v>0</v>
      </c>
      <c r="J38" s="6">
        <f t="shared" si="18"/>
        <v>0</v>
      </c>
      <c r="K38" s="96"/>
      <c r="L38" s="97"/>
      <c r="M38" s="220"/>
      <c r="N38" s="327"/>
      <c r="O38" s="221"/>
      <c r="P38" s="219"/>
      <c r="Q38" s="221"/>
      <c r="R38" s="221"/>
      <c r="S38" s="116" t="b">
        <f t="shared" si="24"/>
        <v>0</v>
      </c>
      <c r="U38" s="221"/>
      <c r="V38" s="221"/>
      <c r="W38" s="221"/>
      <c r="AC38" s="208"/>
      <c r="AD38" s="208"/>
      <c r="AE38" s="208"/>
      <c r="AF38" s="208"/>
      <c r="AG38" s="208"/>
      <c r="AH38" s="208"/>
      <c r="AI38" s="208"/>
      <c r="AJ38" s="208"/>
      <c r="AK38" s="208"/>
      <c r="AL38" s="208"/>
      <c r="AM38" s="208"/>
      <c r="AN38" s="208"/>
      <c r="AO38" s="208"/>
      <c r="AP38" s="218"/>
      <c r="AQ38" s="208"/>
      <c r="AR38" s="208"/>
    </row>
    <row r="39" spans="1:44" ht="18" customHeight="1" x14ac:dyDescent="0.2">
      <c r="A39" s="337" t="str">
        <f t="shared" si="16"/>
        <v/>
      </c>
      <c r="B39" s="88" t="s">
        <v>69</v>
      </c>
      <c r="C39" s="78"/>
      <c r="D39" s="161">
        <v>3.7999999999999999E-2</v>
      </c>
      <c r="E39" s="82"/>
      <c r="F39" s="81"/>
      <c r="G39" s="96"/>
      <c r="H39" s="129"/>
      <c r="I39" s="6">
        <f>+IF(H39="Y",0,IF(AND(H39="Exc",C39=0),0,D39*E39))</f>
        <v>0</v>
      </c>
      <c r="J39" s="6">
        <f t="shared" si="18"/>
        <v>0</v>
      </c>
      <c r="K39" s="96"/>
      <c r="L39" s="97"/>
      <c r="M39" s="220"/>
      <c r="N39" s="327"/>
      <c r="O39" s="221"/>
      <c r="P39" s="215"/>
      <c r="Q39" s="221"/>
      <c r="R39" s="221"/>
      <c r="S39" s="116" t="b">
        <f t="shared" si="24"/>
        <v>0</v>
      </c>
      <c r="U39" s="222"/>
      <c r="V39" s="221"/>
      <c r="W39" s="221"/>
      <c r="AC39" s="208"/>
      <c r="AD39" s="208"/>
      <c r="AE39" s="208"/>
      <c r="AF39" s="208"/>
      <c r="AG39" s="208"/>
      <c r="AH39" s="208"/>
      <c r="AI39" s="208"/>
      <c r="AJ39" s="208"/>
      <c r="AK39" s="208"/>
      <c r="AL39" s="208"/>
      <c r="AM39" s="208"/>
      <c r="AN39" s="208"/>
      <c r="AO39" s="208"/>
      <c r="AP39" s="218"/>
      <c r="AQ39" s="208"/>
      <c r="AR39" s="208"/>
    </row>
    <row r="40" spans="1:44" ht="17.25" customHeight="1" thickBot="1" x14ac:dyDescent="0.25">
      <c r="B40" s="253" t="s">
        <v>70</v>
      </c>
      <c r="C40" s="254">
        <f>SUMIF(A24:A39,"",C24:C39)</f>
        <v>0</v>
      </c>
      <c r="D40" s="882" t="s">
        <v>71</v>
      </c>
      <c r="E40" s="883"/>
      <c r="F40" s="255" t="e">
        <f>+S40</f>
        <v>#N/A</v>
      </c>
      <c r="G40" s="925" t="s">
        <v>72</v>
      </c>
      <c r="H40" s="926"/>
      <c r="I40" s="256" t="e">
        <f>SUM(+SUM(I24:I39))</f>
        <v>#N/A</v>
      </c>
      <c r="J40" s="257" t="e">
        <f>SUM(+SUM(J24:J39))</f>
        <v>#N/A</v>
      </c>
      <c r="K40" s="259" t="s">
        <v>73</v>
      </c>
      <c r="L40" s="258">
        <f>+SUMIF(F24:F28,"MOVE",L24:L28)</f>
        <v>0</v>
      </c>
      <c r="M40" s="223"/>
      <c r="N40" s="183"/>
      <c r="O40" s="183"/>
      <c r="P40" s="272"/>
      <c r="Q40" s="183"/>
      <c r="R40" s="218"/>
      <c r="S40" s="116" t="e">
        <f>SUM(S24:S39)</f>
        <v>#N/A</v>
      </c>
      <c r="T40" s="183" t="s">
        <v>74</v>
      </c>
      <c r="U40" s="183" t="s">
        <v>75</v>
      </c>
      <c r="V40" s="218"/>
      <c r="W40" s="218"/>
      <c r="X40" s="183"/>
      <c r="Y40" s="183"/>
      <c r="Z40" s="183"/>
      <c r="AA40" s="183"/>
      <c r="AB40" s="183"/>
      <c r="AC40" s="218"/>
      <c r="AD40" s="218"/>
      <c r="AE40" s="218"/>
      <c r="AF40" s="218"/>
      <c r="AG40" s="218"/>
      <c r="AH40" s="218"/>
      <c r="AI40" s="218"/>
      <c r="AJ40" s="218"/>
      <c r="AK40" s="218"/>
      <c r="AL40" s="218"/>
      <c r="AM40" s="218"/>
      <c r="AN40" s="218"/>
      <c r="AO40" s="218"/>
      <c r="AP40" s="224"/>
      <c r="AQ40" s="218"/>
      <c r="AR40" s="208"/>
    </row>
    <row r="41" spans="1:44" ht="5.25" customHeight="1" thickBot="1" x14ac:dyDescent="0.25">
      <c r="B41" s="190"/>
      <c r="C41" s="185"/>
      <c r="D41" s="185"/>
      <c r="E41" s="185"/>
      <c r="F41" s="185"/>
      <c r="G41" s="185"/>
      <c r="H41" s="185"/>
      <c r="I41" s="185"/>
      <c r="J41" s="185"/>
      <c r="K41" s="185"/>
      <c r="L41" s="246"/>
      <c r="N41" s="183"/>
      <c r="O41" s="274" t="s">
        <v>76</v>
      </c>
      <c r="P41" s="272"/>
      <c r="Q41" s="183"/>
      <c r="R41" s="218"/>
      <c r="S41" s="183"/>
      <c r="T41" s="183"/>
      <c r="U41" s="183"/>
      <c r="V41" s="183"/>
      <c r="W41" s="183"/>
      <c r="X41" s="183"/>
      <c r="Y41" s="183"/>
      <c r="Z41" s="183"/>
      <c r="AA41" s="183"/>
      <c r="AB41" s="183"/>
      <c r="AC41" s="218"/>
      <c r="AD41" s="218"/>
      <c r="AE41" s="218"/>
      <c r="AF41" s="218"/>
      <c r="AG41" s="218"/>
      <c r="AH41" s="218"/>
      <c r="AI41" s="218"/>
      <c r="AJ41" s="218"/>
      <c r="AK41" s="218"/>
      <c r="AL41" s="218"/>
      <c r="AM41" s="218"/>
      <c r="AN41" s="218"/>
      <c r="AO41" s="218"/>
      <c r="AP41" s="218"/>
      <c r="AQ41" s="218"/>
      <c r="AR41" s="208"/>
    </row>
    <row r="42" spans="1:44" ht="18" customHeight="1" x14ac:dyDescent="0.2">
      <c r="B42" s="839" t="s">
        <v>77</v>
      </c>
      <c r="C42" s="857"/>
      <c r="D42" s="857"/>
      <c r="E42" s="857"/>
      <c r="F42" s="857"/>
      <c r="G42" s="857"/>
      <c r="H42" s="857"/>
      <c r="I42" s="857"/>
      <c r="J42" s="857"/>
      <c r="K42" s="857"/>
      <c r="L42" s="858"/>
      <c r="N42" s="183"/>
      <c r="O42" s="275"/>
      <c r="P42" s="272"/>
      <c r="Q42" s="276"/>
      <c r="R42" s="276"/>
      <c r="S42" s="276"/>
      <c r="T42" s="276">
        <f>+Tables!B313</f>
        <v>27222</v>
      </c>
      <c r="U42" s="183">
        <f>+Tables!B314</f>
        <v>34027</v>
      </c>
      <c r="V42" s="183" t="s">
        <v>78</v>
      </c>
      <c r="W42" s="183"/>
      <c r="X42" s="183"/>
      <c r="Y42" s="183"/>
      <c r="Z42" s="183"/>
      <c r="AA42" s="183"/>
      <c r="AB42" s="218"/>
      <c r="AC42" s="218"/>
      <c r="AD42" s="218"/>
      <c r="AE42" s="218"/>
      <c r="AF42" s="218"/>
      <c r="AG42" s="218"/>
      <c r="AH42" s="218"/>
      <c r="AI42" s="218"/>
      <c r="AJ42" s="218"/>
      <c r="AK42" s="218"/>
      <c r="AL42" s="218"/>
      <c r="AM42" s="218"/>
      <c r="AN42" s="218"/>
      <c r="AO42" s="218"/>
      <c r="AP42" s="218"/>
      <c r="AQ42" s="218"/>
      <c r="AR42" s="208"/>
    </row>
    <row r="43" spans="1:44" ht="32.25" customHeight="1" x14ac:dyDescent="0.2">
      <c r="B43" s="176" t="s">
        <v>79</v>
      </c>
      <c r="C43" s="480" t="s">
        <v>80</v>
      </c>
      <c r="D43" s="480" t="s">
        <v>81</v>
      </c>
      <c r="E43" s="480" t="s">
        <v>82</v>
      </c>
      <c r="F43" s="480" t="s">
        <v>83</v>
      </c>
      <c r="G43" s="480" t="s">
        <v>84</v>
      </c>
      <c r="H43" s="593" t="s">
        <v>294</v>
      </c>
      <c r="I43" s="480" t="s">
        <v>86</v>
      </c>
      <c r="J43" s="480" t="s">
        <v>87</v>
      </c>
      <c r="K43" s="480" t="s">
        <v>88</v>
      </c>
      <c r="L43" s="481" t="s">
        <v>89</v>
      </c>
      <c r="M43" s="481" t="s">
        <v>295</v>
      </c>
      <c r="N43" s="218"/>
      <c r="O43" s="277"/>
      <c r="P43" s="272"/>
      <c r="Q43" s="276"/>
      <c r="R43" s="276"/>
      <c r="S43" s="276"/>
      <c r="T43" s="276" t="s">
        <v>90</v>
      </c>
      <c r="U43" s="276" t="s">
        <v>91</v>
      </c>
      <c r="V43" s="183" t="s">
        <v>92</v>
      </c>
      <c r="W43" s="278" t="s">
        <v>93</v>
      </c>
      <c r="X43" s="183" t="s">
        <v>8</v>
      </c>
      <c r="Y43" s="279">
        <f>+Y44/52</f>
        <v>0</v>
      </c>
      <c r="Z43" s="183" t="s">
        <v>94</v>
      </c>
      <c r="AA43" s="183" t="s">
        <v>296</v>
      </c>
      <c r="AB43" s="280" t="s">
        <v>297</v>
      </c>
      <c r="AC43" s="280" t="s">
        <v>298</v>
      </c>
      <c r="AD43" s="280" t="s">
        <v>299</v>
      </c>
      <c r="AE43" s="218"/>
      <c r="AF43" s="218"/>
      <c r="AG43" s="218"/>
      <c r="AH43" s="280"/>
      <c r="AI43" s="280"/>
      <c r="AJ43" s="218"/>
      <c r="AK43" s="218"/>
      <c r="AL43" s="218"/>
      <c r="AM43" s="218"/>
      <c r="AN43" s="218"/>
      <c r="AO43" s="218"/>
      <c r="AP43" s="218"/>
      <c r="AQ43" s="218"/>
      <c r="AR43" s="208"/>
    </row>
    <row r="44" spans="1:44" ht="18" customHeight="1" x14ac:dyDescent="0.2">
      <c r="B44" s="3" t="s">
        <v>99</v>
      </c>
      <c r="C44" s="13">
        <f>+SUM(T8:T13)/12</f>
        <v>0</v>
      </c>
      <c r="D44" s="14" t="e">
        <f>+T44/12</f>
        <v>#N/A</v>
      </c>
      <c r="E44" s="15" t="e">
        <f>+C44-D44</f>
        <v>#N/A</v>
      </c>
      <c r="F44" s="178"/>
      <c r="G44" s="229"/>
      <c r="H44" s="179">
        <v>2</v>
      </c>
      <c r="I44" s="178"/>
      <c r="J44" s="178"/>
      <c r="K44" s="178"/>
      <c r="L44" s="230"/>
      <c r="M44" s="329">
        <f>+Fees!L10</f>
        <v>0</v>
      </c>
      <c r="N44" s="183"/>
      <c r="O44" s="277"/>
      <c r="P44" s="276"/>
      <c r="Q44" s="276"/>
      <c r="R44" s="276"/>
      <c r="S44" s="276"/>
      <c r="T44" s="281" t="e">
        <f>+U44+V44+W44</f>
        <v>#N/A</v>
      </c>
      <c r="U44" s="276">
        <f>+IF(X$44&lt;=$T$42,0,IF(X$44&lt;=$U$42,((X44-$T$42)*Tables!$B$311),X44*Tables!$B$311))</f>
        <v>0</v>
      </c>
      <c r="V44" s="282">
        <f>+Y44</f>
        <v>0</v>
      </c>
      <c r="W44" s="282" t="e">
        <f>+Tables!D316</f>
        <v>#N/A</v>
      </c>
      <c r="X44" s="183">
        <f>+C44*12</f>
        <v>0</v>
      </c>
      <c r="Y44" s="183">
        <f>+SUM(Z44:AD44)</f>
        <v>0</v>
      </c>
      <c r="Z44" s="183">
        <f>+IF(X44&gt;=Tables!$A$308,((X44-Tables!$A$308)*Tables!$B$309)+Tables!$C$308,0)</f>
        <v>0</v>
      </c>
      <c r="AA44" s="183" t="b">
        <f>+IF(Z44=0,IF(X44&gt;=Tables!$A$307,(X44-Tables!$A$307)*Tables!$B$308+Tables!$C$307),0)</f>
        <v>0</v>
      </c>
      <c r="AB44" s="218" t="b">
        <f>+IF(SUM(Z44:AA44)=0,IF(X44&gt;=Tables!$A$306,(X44-Tables!$A$306)*Tables!$B$307+Tables!$C$306),0)</f>
        <v>0</v>
      </c>
      <c r="AC44" s="218" t="b">
        <f>+IF(SUM(Z44:AB44)=0,IF(X44&gt;=Tables!$A$305,(X44-Tables!$A$305)*Tables!$B$306+Tables!$C$305),0)</f>
        <v>0</v>
      </c>
      <c r="AD44" s="218">
        <f>+IF(SUM(Z44:AC44)=0,IF(X44&lt;=Tables!$A$305,0,0))</f>
        <v>0</v>
      </c>
      <c r="AE44" s="218"/>
      <c r="AF44" s="218"/>
      <c r="AG44" s="218"/>
      <c r="AH44" s="218"/>
      <c r="AI44" s="218"/>
      <c r="AJ44" s="183"/>
      <c r="AK44" s="218"/>
      <c r="AL44" s="218"/>
      <c r="AM44" s="218"/>
      <c r="AN44" s="218"/>
      <c r="AO44" s="218"/>
      <c r="AP44" s="218"/>
      <c r="AQ44" s="218"/>
      <c r="AR44" s="208"/>
    </row>
    <row r="45" spans="1:44" ht="18" customHeight="1" x14ac:dyDescent="0.2">
      <c r="B45" s="3" t="s">
        <v>100</v>
      </c>
      <c r="C45" s="13">
        <f>+SUM(T14:T19)/12</f>
        <v>0</v>
      </c>
      <c r="D45" s="14">
        <f>+T45/12</f>
        <v>0</v>
      </c>
      <c r="E45" s="15">
        <f>+C45-D45</f>
        <v>0</v>
      </c>
      <c r="F45" s="178"/>
      <c r="G45" s="229"/>
      <c r="H45" s="179">
        <v>2</v>
      </c>
      <c r="I45" s="178"/>
      <c r="J45" s="178"/>
      <c r="K45" s="178"/>
      <c r="L45" s="230"/>
      <c r="M45" s="329">
        <f>+Fees!L18</f>
        <v>0</v>
      </c>
      <c r="N45" s="183"/>
      <c r="O45" s="277"/>
      <c r="P45" s="276"/>
      <c r="Q45" s="276"/>
      <c r="R45" s="276"/>
      <c r="S45" s="276"/>
      <c r="T45" s="281">
        <f>+U45+V45+W45</f>
        <v>0</v>
      </c>
      <c r="U45" s="276">
        <f>+IF(X$45&lt;=$T$42,0,IF(X$45&lt;=$U$42,((X45-$T$42)*Tables!$B$311),X45*Tables!$B$311))</f>
        <v>0</v>
      </c>
      <c r="V45" s="282">
        <f>+Y45</f>
        <v>0</v>
      </c>
      <c r="W45" s="282"/>
      <c r="X45" s="183">
        <f>+C45*12</f>
        <v>0</v>
      </c>
      <c r="Y45" s="183">
        <f>+SUM(Z45:AD45)</f>
        <v>0</v>
      </c>
      <c r="Z45" s="183">
        <f>+IF(X45&gt;=Tables!$A$308,((X45-Tables!$A$308)*Tables!$B$309)+Tables!$C$308,0)</f>
        <v>0</v>
      </c>
      <c r="AA45" s="183" t="b">
        <f>+IF(Z45=0,IF(X45&gt;=Tables!$A$307,(X45-Tables!$A$307)*Tables!$B$308+Tables!$C$307),0)</f>
        <v>0</v>
      </c>
      <c r="AB45" s="218" t="b">
        <f>+IF(SUM(Z45:AA45)=0,IF(X45&gt;=Tables!$A$306,(X45-Tables!$A$306)*Tables!$B$307+Tables!$C$306),0)</f>
        <v>0</v>
      </c>
      <c r="AC45" s="218" t="b">
        <f>+IF(SUM(Z45:AB45)=0,IF(X45&gt;=Tables!$A$305,(X45-Tables!$A$305)*Tables!$B$306+Tables!$C$305),0)</f>
        <v>0</v>
      </c>
      <c r="AD45" s="218">
        <f>+IF(SUM(Z45:AC45)=0,IF(X45&lt;=Tables!$A$305,0,0))</f>
        <v>0</v>
      </c>
      <c r="AE45" s="218"/>
      <c r="AF45" s="218"/>
      <c r="AG45" s="183"/>
      <c r="AH45" s="183"/>
      <c r="AI45" s="183"/>
      <c r="AJ45" s="183"/>
      <c r="AK45" s="218"/>
      <c r="AL45" s="218"/>
      <c r="AM45" s="218"/>
      <c r="AN45" s="218"/>
      <c r="AO45" s="218"/>
      <c r="AP45" s="218"/>
      <c r="AQ45" s="218"/>
      <c r="AR45" s="208"/>
    </row>
    <row r="46" spans="1:44" ht="18" customHeight="1" thickBot="1" x14ac:dyDescent="0.25">
      <c r="B46" s="40" t="s">
        <v>101</v>
      </c>
      <c r="C46" s="929" t="str">
        <f>I10</f>
        <v>Rental Income</v>
      </c>
      <c r="D46" s="929"/>
      <c r="E46" s="15">
        <f>+L14*I14</f>
        <v>0</v>
      </c>
      <c r="F46" s="231"/>
      <c r="G46" s="231"/>
      <c r="H46" s="231"/>
      <c r="I46" s="241"/>
      <c r="J46" s="231"/>
      <c r="K46" s="231"/>
      <c r="L46" s="232"/>
      <c r="N46" s="183"/>
      <c r="O46" s="277"/>
      <c r="P46" s="276"/>
      <c r="Q46" s="276"/>
      <c r="R46" s="276"/>
      <c r="S46" s="276"/>
      <c r="T46" s="276"/>
      <c r="U46" s="276"/>
      <c r="V46" s="183"/>
      <c r="W46" s="183"/>
      <c r="X46" s="183"/>
      <c r="Y46" s="183"/>
      <c r="Z46" s="183"/>
      <c r="AA46" s="183"/>
      <c r="AB46" s="218"/>
      <c r="AC46" s="218"/>
      <c r="AD46" s="218"/>
      <c r="AE46" s="218"/>
      <c r="AF46" s="218"/>
      <c r="AG46" s="218"/>
      <c r="AH46" s="218"/>
      <c r="AI46" s="218"/>
      <c r="AJ46" s="218"/>
      <c r="AK46" s="218"/>
      <c r="AL46" s="218"/>
      <c r="AM46" s="218"/>
      <c r="AN46" s="218"/>
      <c r="AO46" s="218"/>
      <c r="AP46" s="218"/>
      <c r="AQ46" s="218"/>
      <c r="AR46" s="208"/>
    </row>
    <row r="47" spans="1:44" ht="18" customHeight="1" x14ac:dyDescent="0.2">
      <c r="B47" s="40" t="s">
        <v>102</v>
      </c>
      <c r="C47" s="15">
        <f>+V7+V8+V9</f>
        <v>0</v>
      </c>
      <c r="D47" s="15">
        <v>0</v>
      </c>
      <c r="E47" s="236">
        <f>+V7+V8+V9</f>
        <v>0</v>
      </c>
      <c r="F47" s="934" t="s">
        <v>300</v>
      </c>
      <c r="G47" s="935"/>
      <c r="H47" s="935"/>
      <c r="I47" s="936"/>
      <c r="J47" s="931" t="s">
        <v>104</v>
      </c>
      <c r="K47" s="932"/>
      <c r="L47" s="933"/>
      <c r="M47" s="330" t="s">
        <v>105</v>
      </c>
      <c r="N47" s="283"/>
      <c r="O47" s="277"/>
      <c r="P47" s="276"/>
      <c r="Q47" s="276"/>
      <c r="R47" s="276"/>
      <c r="S47" s="276"/>
      <c r="T47" s="276"/>
      <c r="U47" s="276"/>
      <c r="V47" s="183"/>
      <c r="W47" s="183"/>
      <c r="X47" s="183"/>
      <c r="Y47" s="183"/>
      <c r="Z47" s="183"/>
      <c r="AA47" s="183"/>
      <c r="AB47" s="218"/>
      <c r="AC47" s="218"/>
      <c r="AD47" s="218"/>
      <c r="AE47" s="218"/>
      <c r="AF47" s="218"/>
      <c r="AG47" s="218"/>
      <c r="AH47" s="218"/>
      <c r="AI47" s="218"/>
      <c r="AJ47" s="218"/>
      <c r="AK47" s="218"/>
      <c r="AL47" s="218"/>
      <c r="AM47" s="218"/>
      <c r="AN47" s="218"/>
      <c r="AO47" s="218"/>
      <c r="AP47" s="218"/>
      <c r="AQ47" s="218"/>
      <c r="AR47" s="208"/>
    </row>
    <row r="48" spans="1:44" ht="18" customHeight="1" thickBot="1" x14ac:dyDescent="0.25">
      <c r="B48" s="10" t="s">
        <v>106</v>
      </c>
      <c r="C48" s="17">
        <f>SUM(C44:C45)+E46+E47</f>
        <v>0</v>
      </c>
      <c r="D48" s="17" t="e">
        <f>SUM(D44:D45)</f>
        <v>#N/A</v>
      </c>
      <c r="E48" s="163" t="e">
        <f>SUM(E44:E47)</f>
        <v>#N/A</v>
      </c>
      <c r="F48" s="40" t="s">
        <v>13</v>
      </c>
      <c r="G48" s="15">
        <f>+C48</f>
        <v>0</v>
      </c>
      <c r="H48" s="560" t="s">
        <v>54</v>
      </c>
      <c r="I48" s="242" t="str">
        <f>+K24</f>
        <v xml:space="preserve"> </v>
      </c>
      <c r="J48" s="40" t="s">
        <v>107</v>
      </c>
      <c r="K48" s="234" t="e">
        <f>+(I40+L20)/E48</f>
        <v>#N/A</v>
      </c>
      <c r="L48" s="180" t="e">
        <f>+E48-I40-L20</f>
        <v>#N/A</v>
      </c>
      <c r="M48" s="329" t="e">
        <f>+W44/12</f>
        <v>#N/A</v>
      </c>
      <c r="N48" s="183"/>
      <c r="O48" s="277"/>
      <c r="P48" s="276"/>
      <c r="Q48" s="276"/>
      <c r="R48" s="276"/>
      <c r="S48" s="276"/>
      <c r="T48" s="183"/>
      <c r="U48" s="405"/>
      <c r="V48" s="183"/>
      <c r="W48" s="183"/>
      <c r="X48" s="183">
        <v>4</v>
      </c>
      <c r="Y48" s="183">
        <v>8</v>
      </c>
      <c r="Z48" s="183">
        <v>12</v>
      </c>
      <c r="AA48" s="116">
        <v>16</v>
      </c>
      <c r="AB48" s="183">
        <v>20</v>
      </c>
      <c r="AC48" s="183">
        <v>0</v>
      </c>
      <c r="AD48" s="218"/>
      <c r="AE48" s="218"/>
      <c r="AF48" s="218"/>
      <c r="AG48" s="218"/>
      <c r="AH48" s="218"/>
      <c r="AI48" s="218"/>
      <c r="AJ48" s="218"/>
      <c r="AK48" s="218"/>
      <c r="AL48" s="218"/>
      <c r="AM48" s="218"/>
      <c r="AN48" s="218"/>
      <c r="AO48" s="218"/>
      <c r="AP48" s="218"/>
      <c r="AQ48" s="218"/>
      <c r="AR48" s="208"/>
    </row>
    <row r="49" spans="2:45" ht="18" customHeight="1" x14ac:dyDescent="0.2">
      <c r="B49" s="922" t="s">
        <v>108</v>
      </c>
      <c r="C49" s="923"/>
      <c r="D49" s="923"/>
      <c r="E49" s="924"/>
      <c r="F49" s="40" t="s">
        <v>109</v>
      </c>
      <c r="G49" s="15" t="e">
        <f>+L20+J40+D48-J24+M24</f>
        <v>#REF!</v>
      </c>
      <c r="H49" s="560" t="s">
        <v>110</v>
      </c>
      <c r="I49" s="242" t="e">
        <f>+(J40+D48+L20)/C48</f>
        <v>#N/A</v>
      </c>
      <c r="J49" s="40" t="s">
        <v>111</v>
      </c>
      <c r="K49" s="234" t="e">
        <f>(J40+L20)/E48</f>
        <v>#N/A</v>
      </c>
      <c r="L49" s="180" t="e">
        <f>+E48-J40-L20</f>
        <v>#N/A</v>
      </c>
      <c r="N49" s="284"/>
      <c r="O49" s="183"/>
      <c r="P49" s="183"/>
      <c r="Q49" s="877"/>
      <c r="R49" s="877"/>
      <c r="S49" s="877"/>
      <c r="T49" s="183"/>
      <c r="U49" s="183"/>
      <c r="V49" s="183"/>
      <c r="W49" s="183"/>
      <c r="X49" s="183" t="str">
        <f>+Tables!C29</f>
        <v>LA</v>
      </c>
      <c r="Y49" s="183" t="str">
        <f>+Tables!D29</f>
        <v>SLA</v>
      </c>
      <c r="Z49" s="183" t="str">
        <f>+Tables!E29</f>
        <v>CTL</v>
      </c>
      <c r="AA49" s="183" t="str">
        <f>+Tables!F29</f>
        <v>CTL</v>
      </c>
      <c r="AB49" s="183" t="str">
        <f>+Tables!G29</f>
        <v>COO</v>
      </c>
      <c r="AC49" s="183" t="str">
        <f>+Tables!H29</f>
        <v>CEO</v>
      </c>
      <c r="AD49" s="183" t="s">
        <v>148</v>
      </c>
      <c r="AE49" s="183"/>
      <c r="AF49" s="183"/>
      <c r="AG49" s="183"/>
      <c r="AH49" s="183"/>
      <c r="AI49" s="183"/>
      <c r="AJ49" s="183"/>
      <c r="AK49" s="183"/>
      <c r="AL49" s="183"/>
      <c r="AM49" s="183"/>
      <c r="AN49" s="183"/>
      <c r="AO49" s="183"/>
      <c r="AQ49" s="183"/>
      <c r="AR49" s="183"/>
      <c r="AS49" s="116"/>
    </row>
    <row r="50" spans="2:45" ht="18" customHeight="1" x14ac:dyDescent="0.2">
      <c r="B50" s="40" t="s">
        <v>112</v>
      </c>
      <c r="C50" s="15">
        <f>SUM(T22:V22)</f>
        <v>0</v>
      </c>
      <c r="D50" s="235" t="s">
        <v>113</v>
      </c>
      <c r="E50" s="180">
        <f>SUMIF(A35:A39,"",E35:E39)</f>
        <v>0</v>
      </c>
      <c r="F50" s="40" t="s">
        <v>114</v>
      </c>
      <c r="G50" s="15" t="e">
        <f>+C48-G49-I24</f>
        <v>#REF!</v>
      </c>
      <c r="H50" s="560" t="s">
        <v>115</v>
      </c>
      <c r="I50" s="180" t="e">
        <f>+C48-G49</f>
        <v>#REF!</v>
      </c>
      <c r="J50" s="939" t="s">
        <v>116</v>
      </c>
      <c r="K50" s="940"/>
      <c r="L50" s="240" t="s">
        <v>117</v>
      </c>
      <c r="N50" s="285"/>
      <c r="O50" s="183"/>
      <c r="P50" s="183"/>
      <c r="Q50" s="877"/>
      <c r="R50" s="877"/>
      <c r="S50" s="877"/>
      <c r="T50" s="183" t="e">
        <f>+IF(X58=X48,X49,IF(Y58=Y48,Y49,IF(Z58=Z48,Z49,IF(AA58=AA48,AA49,IF(AC58=AB48,AC49,AD49)))))</f>
        <v>#N/A</v>
      </c>
      <c r="U50" s="286">
        <f>+D24</f>
        <v>0</v>
      </c>
      <c r="V50" s="287">
        <f>+C24</f>
        <v>0</v>
      </c>
      <c r="W50" s="287"/>
      <c r="X50" s="288" t="e">
        <f>+VLOOKUP($U$50,Delegations,3,FALSE)</f>
        <v>#N/A</v>
      </c>
      <c r="Y50" s="288" t="e">
        <f>+VLOOKUP($U$50,Delegations,4,FALSE)</f>
        <v>#N/A</v>
      </c>
      <c r="Z50" s="288" t="e">
        <f>+VLOOKUP($U$50,Delegations,5,FALSE)</f>
        <v>#N/A</v>
      </c>
      <c r="AA50" s="288" t="e">
        <f>+VLOOKUP($U$50,Delegations,6,FALSE)</f>
        <v>#N/A</v>
      </c>
      <c r="AB50" s="288" t="e">
        <f>+VLOOKUP($U$50,Delegations,7,FALSE)</f>
        <v>#N/A</v>
      </c>
      <c r="AC50" s="288" t="e">
        <f>+VLOOKUP($U$50,Delegations,8,FALSE)</f>
        <v>#N/A</v>
      </c>
      <c r="AD50" s="183"/>
      <c r="AE50" s="183"/>
      <c r="AF50" s="183"/>
      <c r="AG50" s="183"/>
      <c r="AH50" s="183"/>
      <c r="AI50" s="183"/>
      <c r="AJ50" s="183"/>
      <c r="AK50" s="183"/>
      <c r="AL50" s="183"/>
      <c r="AM50" s="183"/>
      <c r="AN50" s="183"/>
      <c r="AO50" s="183"/>
      <c r="AQ50" s="183"/>
      <c r="AR50" s="183"/>
      <c r="AS50" s="116"/>
    </row>
    <row r="51" spans="2:45" ht="18" customHeight="1" thickBot="1" x14ac:dyDescent="0.25">
      <c r="B51" s="237" t="s">
        <v>118</v>
      </c>
      <c r="C51" s="559">
        <f>+C40-SUMIF(A35:A39,"",C35:C39)+E50</f>
        <v>0</v>
      </c>
      <c r="D51" s="238" t="s">
        <v>119</v>
      </c>
      <c r="E51" s="244" t="e">
        <f>+C51/C50</f>
        <v>#DIV/0!</v>
      </c>
      <c r="F51" s="485" t="s">
        <v>120</v>
      </c>
      <c r="G51" s="930">
        <f>+SUM(C25:C34)+SUM(E35:E39)</f>
        <v>0</v>
      </c>
      <c r="H51" s="930"/>
      <c r="I51" s="243"/>
      <c r="J51" s="937" t="e">
        <f>IF(L51="NO","DECLINED",+VLOOKUP(T50,Approval_Officers,2,FALSE))</f>
        <v>#N/A</v>
      </c>
      <c r="K51" s="938"/>
      <c r="L51" s="239" t="e">
        <f>+IF(I49&lt;1,"Yes","NO")</f>
        <v>#N/A</v>
      </c>
      <c r="N51" s="285"/>
      <c r="O51" s="183"/>
      <c r="P51" s="183"/>
      <c r="Q51" s="557"/>
      <c r="R51" s="557"/>
      <c r="S51" s="557"/>
      <c r="T51" s="183"/>
      <c r="U51" s="286"/>
      <c r="V51" s="287"/>
      <c r="W51" s="287"/>
      <c r="X51" s="289" t="e">
        <f>+X50-$V$50</f>
        <v>#N/A</v>
      </c>
      <c r="Y51" s="289" t="e">
        <f>+Y50-$V$50</f>
        <v>#N/A</v>
      </c>
      <c r="Z51" s="289" t="e">
        <f>+Z50-$V$50</f>
        <v>#N/A</v>
      </c>
      <c r="AA51" s="289" t="e">
        <f t="shared" ref="AA51:AC51" si="26">+AA50-$V$50</f>
        <v>#N/A</v>
      </c>
      <c r="AB51" s="289" t="e">
        <f t="shared" ref="AB51" si="27">+AB50-$V$50</f>
        <v>#N/A</v>
      </c>
      <c r="AC51" s="289" t="e">
        <f t="shared" si="26"/>
        <v>#N/A</v>
      </c>
      <c r="AD51" s="183"/>
      <c r="AE51" s="183"/>
      <c r="AF51" s="183"/>
      <c r="AG51" s="183"/>
      <c r="AH51" s="183"/>
      <c r="AI51" s="183"/>
      <c r="AJ51" s="183"/>
      <c r="AK51" s="183"/>
      <c r="AL51" s="183"/>
      <c r="AM51" s="183"/>
      <c r="AN51" s="183"/>
      <c r="AO51" s="183"/>
      <c r="AQ51" s="183"/>
      <c r="AR51" s="183"/>
      <c r="AS51" s="116"/>
    </row>
    <row r="52" spans="2:45" ht="5.25" customHeight="1" thickBot="1" x14ac:dyDescent="0.25">
      <c r="B52" s="247"/>
      <c r="C52" s="185"/>
      <c r="D52" s="185"/>
      <c r="E52" s="185"/>
      <c r="F52" s="185"/>
      <c r="G52" s="185"/>
      <c r="H52" s="185"/>
      <c r="I52" s="185"/>
      <c r="J52" s="185"/>
      <c r="K52" s="248"/>
      <c r="L52" s="249"/>
      <c r="N52" s="284"/>
      <c r="O52" s="183"/>
      <c r="P52" s="183"/>
      <c r="Q52" s="183"/>
      <c r="R52" s="218"/>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Q52" s="183"/>
      <c r="AR52" s="183"/>
      <c r="AS52" s="116"/>
    </row>
    <row r="53" spans="2:45" ht="18" customHeight="1" x14ac:dyDescent="0.2">
      <c r="B53" s="839" t="s">
        <v>121</v>
      </c>
      <c r="C53" s="857"/>
      <c r="D53" s="857"/>
      <c r="E53" s="857"/>
      <c r="F53" s="857"/>
      <c r="G53" s="858"/>
      <c r="H53" s="185"/>
      <c r="I53" s="839" t="s">
        <v>122</v>
      </c>
      <c r="J53" s="857"/>
      <c r="K53" s="857"/>
      <c r="L53" s="858"/>
      <c r="M53" s="210"/>
      <c r="N53" s="218"/>
      <c r="O53" s="218"/>
      <c r="P53" s="218"/>
      <c r="Q53" s="218"/>
      <c r="R53" s="218"/>
      <c r="S53" s="183"/>
      <c r="T53" s="183"/>
      <c r="U53" s="183"/>
      <c r="V53" s="183"/>
      <c r="W53" s="183" t="s">
        <v>301</v>
      </c>
      <c r="X53" s="273" t="e">
        <f>+IF(X51&gt;=0,1,0)</f>
        <v>#N/A</v>
      </c>
      <c r="Y53" s="273" t="e">
        <f>+IF(Y51&gt;=0,2,0)</f>
        <v>#N/A</v>
      </c>
      <c r="Z53" s="273" t="e">
        <f>+IF(Z51&gt;=0,3,0)</f>
        <v>#N/A</v>
      </c>
      <c r="AA53" s="273" t="e">
        <f>+IF(AA51&gt;=0,4,0)</f>
        <v>#N/A</v>
      </c>
      <c r="AB53" s="273" t="e">
        <f>+IF(AB51&gt;=0,5,0)</f>
        <v>#N/A</v>
      </c>
      <c r="AC53" s="273" t="e">
        <f>+IF(AC51&gt;=0,5,0)</f>
        <v>#N/A</v>
      </c>
      <c r="AD53" s="273"/>
      <c r="AE53" s="183"/>
      <c r="AF53" s="183"/>
      <c r="AG53" s="183"/>
      <c r="AH53" s="183"/>
      <c r="AI53" s="183"/>
      <c r="AJ53" s="183"/>
      <c r="AK53" s="183"/>
      <c r="AL53" s="183"/>
      <c r="AM53" s="183"/>
      <c r="AN53" s="183"/>
      <c r="AO53" s="183"/>
      <c r="AQ53" s="183"/>
      <c r="AR53" s="183"/>
      <c r="AS53" s="116"/>
    </row>
    <row r="54" spans="2:45" ht="18" customHeight="1" x14ac:dyDescent="0.2">
      <c r="B54" s="859" t="s">
        <v>123</v>
      </c>
      <c r="C54" s="860"/>
      <c r="D54" s="4" t="s">
        <v>124</v>
      </c>
      <c r="E54" s="4" t="s">
        <v>54</v>
      </c>
      <c r="F54" s="4" t="s">
        <v>125</v>
      </c>
      <c r="G54" s="324" t="s">
        <v>126</v>
      </c>
      <c r="H54" s="185"/>
      <c r="I54" s="250" t="s">
        <v>127</v>
      </c>
      <c r="J54" s="861"/>
      <c r="K54" s="861"/>
      <c r="L54" s="862"/>
      <c r="M54" s="210"/>
      <c r="N54" s="218"/>
      <c r="O54" s="218"/>
      <c r="P54" s="218"/>
      <c r="Q54" s="218"/>
      <c r="R54" s="218"/>
      <c r="S54" s="183"/>
      <c r="T54" s="183"/>
      <c r="U54" s="183"/>
      <c r="V54" s="183"/>
      <c r="W54" s="183" t="s">
        <v>302</v>
      </c>
      <c r="X54" s="290" t="e">
        <f>+IF($K$49&lt;=X60,1,0)</f>
        <v>#N/A</v>
      </c>
      <c r="Y54" s="290" t="e">
        <f>+IF($K$49&lt;=Y60,2,0)</f>
        <v>#N/A</v>
      </c>
      <c r="Z54" s="290" t="e">
        <f>+IF($K$49&lt;=Z60,3,0)</f>
        <v>#N/A</v>
      </c>
      <c r="AA54" s="290" t="e">
        <f>+IF($K$49&lt;=AA60,4,0)</f>
        <v>#N/A</v>
      </c>
      <c r="AB54" s="290" t="e">
        <f>+IF($K$49&lt;=AB60,5,0)</f>
        <v>#N/A</v>
      </c>
      <c r="AC54" s="290" t="e">
        <f>+IF($K$49&lt;=AC60,5,0)</f>
        <v>#N/A</v>
      </c>
      <c r="AD54" s="290"/>
      <c r="AE54" s="183"/>
      <c r="AF54" s="183"/>
      <c r="AG54" s="183"/>
      <c r="AH54" s="183"/>
      <c r="AI54" s="183"/>
      <c r="AJ54" s="183"/>
      <c r="AK54" s="183"/>
      <c r="AL54" s="183"/>
      <c r="AM54" s="183"/>
      <c r="AN54" s="183"/>
      <c r="AO54" s="183"/>
      <c r="AQ54" s="183"/>
      <c r="AR54" s="183"/>
      <c r="AS54" s="116"/>
    </row>
    <row r="55" spans="2:45" ht="18" customHeight="1" x14ac:dyDescent="0.2">
      <c r="B55" s="927"/>
      <c r="C55" s="928"/>
      <c r="D55" s="546"/>
      <c r="E55" s="547"/>
      <c r="F55" s="78"/>
      <c r="G55" s="548"/>
      <c r="H55" s="185"/>
      <c r="I55" s="251" t="s">
        <v>128</v>
      </c>
      <c r="J55" s="865"/>
      <c r="K55" s="865"/>
      <c r="L55" s="866"/>
      <c r="M55" s="210"/>
      <c r="N55" s="218"/>
      <c r="O55" s="218"/>
      <c r="P55" s="218"/>
      <c r="Q55" s="218"/>
      <c r="R55" s="218"/>
      <c r="S55" s="183"/>
      <c r="T55" s="183"/>
      <c r="U55" s="183"/>
      <c r="V55" s="183"/>
      <c r="W55" s="183" t="s">
        <v>303</v>
      </c>
      <c r="X55" s="290" t="e">
        <f>+IF($F$40&lt;=X61,1,0)</f>
        <v>#N/A</v>
      </c>
      <c r="Y55" s="290" t="e">
        <f>+IF($F$40&lt;=Y61,2,0)</f>
        <v>#N/A</v>
      </c>
      <c r="Z55" s="290" t="e">
        <f>+IF($F$40&lt;=Z61,3,0)</f>
        <v>#N/A</v>
      </c>
      <c r="AA55" s="290" t="e">
        <f>+IF($F$40&lt;=AA61,4,0)</f>
        <v>#N/A</v>
      </c>
      <c r="AB55" s="290" t="e">
        <f>+IF($F$40&lt;=AB61,5,0)</f>
        <v>#N/A</v>
      </c>
      <c r="AC55" s="290" t="e">
        <f>+IF($F$40&lt;=AC61,5,0)</f>
        <v>#N/A</v>
      </c>
      <c r="AD55" s="290"/>
      <c r="AE55" s="183"/>
      <c r="AF55" s="183"/>
      <c r="AG55" s="183"/>
      <c r="AH55" s="183"/>
      <c r="AI55" s="183"/>
      <c r="AJ55" s="183"/>
      <c r="AK55" s="183"/>
      <c r="AL55" s="183"/>
      <c r="AM55" s="183"/>
      <c r="AN55" s="183"/>
      <c r="AO55" s="183"/>
      <c r="AQ55" s="183"/>
      <c r="AR55" s="183"/>
      <c r="AS55" s="116"/>
    </row>
    <row r="56" spans="2:45" ht="18" customHeight="1" x14ac:dyDescent="0.2">
      <c r="B56" s="927"/>
      <c r="C56" s="945"/>
      <c r="D56" s="546"/>
      <c r="E56" s="547"/>
      <c r="F56" s="78"/>
      <c r="G56" s="548"/>
      <c r="H56" s="185"/>
      <c r="I56" s="554" t="s">
        <v>129</v>
      </c>
      <c r="J56" s="555"/>
      <c r="K56" s="555"/>
      <c r="L56" s="556"/>
      <c r="M56" s="210"/>
      <c r="N56" s="218"/>
      <c r="O56" s="218"/>
      <c r="P56" s="218"/>
      <c r="Q56" s="218"/>
      <c r="R56" s="218"/>
      <c r="S56" s="183"/>
      <c r="T56" s="183"/>
      <c r="U56" s="183"/>
      <c r="V56" s="183"/>
      <c r="W56" s="183"/>
      <c r="X56" s="290"/>
      <c r="Y56" s="290"/>
      <c r="Z56" s="290"/>
      <c r="AA56" s="290"/>
      <c r="AB56" s="290"/>
      <c r="AC56" s="290"/>
      <c r="AD56" s="290"/>
      <c r="AE56" s="183"/>
      <c r="AF56" s="183"/>
      <c r="AG56" s="183"/>
      <c r="AH56" s="183"/>
      <c r="AI56" s="183"/>
      <c r="AJ56" s="183"/>
      <c r="AK56" s="183"/>
      <c r="AL56" s="183"/>
      <c r="AM56" s="183"/>
      <c r="AN56" s="183"/>
      <c r="AO56" s="183"/>
      <c r="AQ56" s="183"/>
      <c r="AR56" s="183"/>
      <c r="AS56" s="116"/>
    </row>
    <row r="57" spans="2:45" ht="18" customHeight="1" x14ac:dyDescent="0.2">
      <c r="B57" s="927"/>
      <c r="C57" s="928"/>
      <c r="D57" s="546"/>
      <c r="E57" s="547"/>
      <c r="F57" s="78"/>
      <c r="G57" s="548"/>
      <c r="H57" s="185"/>
      <c r="I57" s="870" t="e">
        <f>+J51</f>
        <v>#N/A</v>
      </c>
      <c r="J57" s="871"/>
      <c r="K57" s="871"/>
      <c r="L57" s="872"/>
      <c r="N57" s="183"/>
      <c r="O57" s="183"/>
      <c r="P57" s="183"/>
      <c r="Q57" s="183"/>
      <c r="R57" s="183"/>
      <c r="S57" s="183"/>
      <c r="T57" s="183"/>
      <c r="U57" s="183"/>
      <c r="V57" s="183"/>
      <c r="W57" s="183" t="s">
        <v>304</v>
      </c>
      <c r="X57" s="290" t="e">
        <f>+IF($E$51&lt;=X62,1,0)</f>
        <v>#DIV/0!</v>
      </c>
      <c r="Y57" s="290" t="e">
        <f>+IF($E$51&lt;=Y62,2,0)</f>
        <v>#DIV/0!</v>
      </c>
      <c r="Z57" s="290" t="e">
        <f>+IF($E$51&lt;=Z62,3,0)</f>
        <v>#DIV/0!</v>
      </c>
      <c r="AA57" s="290" t="e">
        <f>+IF($E$51&lt;=AA62,4,0)</f>
        <v>#DIV/0!</v>
      </c>
      <c r="AB57" s="290" t="e">
        <f>+IF($E$51&lt;=AB62,5,0)</f>
        <v>#DIV/0!</v>
      </c>
      <c r="AC57" s="290" t="e">
        <f>+IF($E$51&lt;=AC62,5,0)</f>
        <v>#DIV/0!</v>
      </c>
      <c r="AE57" s="183"/>
      <c r="AF57" s="183"/>
      <c r="AG57" s="183"/>
      <c r="AH57" s="183"/>
      <c r="AI57" s="183"/>
      <c r="AJ57" s="183"/>
      <c r="AK57" s="183"/>
      <c r="AL57" s="183"/>
      <c r="AM57" s="183"/>
      <c r="AN57" s="183"/>
      <c r="AO57" s="183"/>
      <c r="AQ57" s="183"/>
      <c r="AR57" s="183"/>
      <c r="AS57" s="116"/>
    </row>
    <row r="58" spans="2:45" ht="18" customHeight="1" thickBot="1" x14ac:dyDescent="0.25">
      <c r="B58" s="237" t="s">
        <v>130</v>
      </c>
      <c r="C58" s="500"/>
      <c r="D58" s="500"/>
      <c r="E58" s="325" t="s">
        <v>131</v>
      </c>
      <c r="F58" s="162"/>
      <c r="G58" s="243"/>
      <c r="H58" s="185"/>
      <c r="I58" s="190" t="s">
        <v>127</v>
      </c>
      <c r="J58" s="875"/>
      <c r="K58" s="875"/>
      <c r="L58" s="876"/>
      <c r="N58" s="183"/>
      <c r="O58" s="183"/>
      <c r="P58" s="183"/>
      <c r="Q58" s="183"/>
      <c r="R58" s="183"/>
      <c r="S58" s="183"/>
      <c r="T58" s="183"/>
      <c r="U58" s="183"/>
      <c r="V58" s="183"/>
      <c r="W58" s="183"/>
      <c r="X58" s="273" t="e">
        <f>SUM(X53:X57)</f>
        <v>#N/A</v>
      </c>
      <c r="Y58" s="273" t="e">
        <f t="shared" ref="Y58:AC58" si="28">SUM(Y53:Y57)</f>
        <v>#N/A</v>
      </c>
      <c r="Z58" s="273" t="e">
        <f t="shared" si="28"/>
        <v>#N/A</v>
      </c>
      <c r="AA58" s="273" t="e">
        <f t="shared" si="28"/>
        <v>#N/A</v>
      </c>
      <c r="AB58" s="273" t="e">
        <f t="shared" ref="AB58" si="29">SUM(AB53:AB57)</f>
        <v>#N/A</v>
      </c>
      <c r="AC58" s="273" t="e">
        <f t="shared" si="28"/>
        <v>#N/A</v>
      </c>
      <c r="AD58" s="273"/>
      <c r="AE58" s="183"/>
      <c r="AF58" s="183"/>
      <c r="AG58" s="183"/>
      <c r="AH58" s="183"/>
      <c r="AI58" s="183"/>
      <c r="AJ58" s="183"/>
      <c r="AK58" s="183"/>
      <c r="AL58" s="183"/>
      <c r="AM58" s="183"/>
      <c r="AN58" s="183"/>
      <c r="AO58" s="183"/>
      <c r="AQ58" s="183"/>
      <c r="AR58" s="183"/>
      <c r="AS58" s="116"/>
    </row>
    <row r="59" spans="2:45" ht="18" customHeight="1" thickBot="1" x14ac:dyDescent="0.25">
      <c r="B59" s="867" t="s">
        <v>132</v>
      </c>
      <c r="C59" s="873"/>
      <c r="D59" s="873"/>
      <c r="E59" s="873"/>
      <c r="F59" s="873"/>
      <c r="G59" s="874"/>
      <c r="H59" s="185"/>
      <c r="I59" s="252" t="s">
        <v>128</v>
      </c>
      <c r="J59" s="855"/>
      <c r="K59" s="855"/>
      <c r="L59" s="856"/>
      <c r="N59" s="183"/>
      <c r="O59" s="183"/>
      <c r="P59" s="183"/>
      <c r="Q59" s="183"/>
      <c r="R59" s="183"/>
      <c r="S59" s="183"/>
      <c r="T59" s="183"/>
      <c r="U59" s="183"/>
      <c r="V59" s="183"/>
      <c r="W59" s="183"/>
      <c r="X59" s="183" t="e">
        <f>+IF(X58&lt;X48,0,X58)</f>
        <v>#N/A</v>
      </c>
      <c r="Y59" s="183" t="e">
        <f t="shared" ref="Y59:AA59" si="30">+IF(Y58&lt;Y48,0,Y58)</f>
        <v>#N/A</v>
      </c>
      <c r="Z59" s="183" t="e">
        <f t="shared" si="30"/>
        <v>#N/A</v>
      </c>
      <c r="AA59" s="183" t="e">
        <f t="shared" si="30"/>
        <v>#N/A</v>
      </c>
      <c r="AB59" s="183" t="e">
        <f>+IF(AB58&lt;AA48,0,AB58)</f>
        <v>#N/A</v>
      </c>
      <c r="AC59" s="183" t="e">
        <f>+IF(AC58&lt;AB48,0,AC58)</f>
        <v>#N/A</v>
      </c>
      <c r="AD59" s="183"/>
      <c r="AE59" s="183"/>
      <c r="AF59" s="183"/>
      <c r="AG59" s="183"/>
      <c r="AH59" s="183"/>
      <c r="AI59" s="183"/>
      <c r="AJ59" s="183"/>
      <c r="AK59" s="183"/>
      <c r="AL59" s="183"/>
      <c r="AM59" s="183"/>
      <c r="AN59" s="183"/>
      <c r="AO59" s="183"/>
      <c r="AQ59" s="183"/>
      <c r="AR59" s="183"/>
      <c r="AS59" s="116"/>
    </row>
    <row r="60" spans="2:45" ht="18" customHeight="1" x14ac:dyDescent="0.2">
      <c r="B60" s="853" t="s">
        <v>133</v>
      </c>
      <c r="C60" s="830"/>
      <c r="D60" s="845"/>
      <c r="E60" s="845"/>
      <c r="F60" s="845"/>
      <c r="G60" s="846"/>
      <c r="H60" s="185"/>
      <c r="I60" s="491" t="s">
        <v>135</v>
      </c>
      <c r="J60" s="552"/>
      <c r="K60" s="552"/>
      <c r="L60" s="553"/>
      <c r="N60" s="183"/>
      <c r="O60" s="183"/>
      <c r="P60" s="183"/>
      <c r="Q60" s="183"/>
      <c r="R60" s="183"/>
      <c r="S60" s="183"/>
      <c r="T60" s="183"/>
      <c r="U60" s="183"/>
      <c r="V60" s="183"/>
      <c r="W60" s="183"/>
      <c r="X60" s="291" t="e">
        <f>+Tables!C143</f>
        <v>#N/A</v>
      </c>
      <c r="Y60" s="291" t="e">
        <f>+Tables!D143</f>
        <v>#N/A</v>
      </c>
      <c r="Z60" s="291" t="e">
        <f>+Tables!E143</f>
        <v>#N/A</v>
      </c>
      <c r="AA60" s="291" t="e">
        <f>IF(V50&gt;1000000,AA65,IF(V50&gt;3000000,AA66,AA64))</f>
        <v>#N/A</v>
      </c>
      <c r="AB60" s="291" t="e">
        <f>IF(V50&gt;1000000,AB65,IF(V50&gt;3000000,AB66,AB64))</f>
        <v>#N/A</v>
      </c>
      <c r="AC60" s="291" t="e">
        <f>IF(W50&gt;1000000,AC65,IF(W50&gt;3000000,AC66,AC64))</f>
        <v>#N/A</v>
      </c>
      <c r="AD60" s="183"/>
      <c r="AE60" s="183"/>
      <c r="AF60" s="183"/>
      <c r="AG60" s="183"/>
      <c r="AH60" s="183"/>
      <c r="AI60" s="183"/>
      <c r="AJ60" s="183"/>
      <c r="AK60" s="183"/>
      <c r="AL60" s="183"/>
      <c r="AM60" s="183"/>
      <c r="AN60" s="183"/>
      <c r="AO60" s="183"/>
      <c r="AQ60" s="183"/>
      <c r="AR60" s="183"/>
      <c r="AS60" s="116"/>
    </row>
    <row r="61" spans="2:45" ht="18.600000000000001" customHeight="1" x14ac:dyDescent="0.2">
      <c r="B61" s="854"/>
      <c r="C61" s="847"/>
      <c r="D61" s="848"/>
      <c r="E61" s="848"/>
      <c r="F61" s="848"/>
      <c r="G61" s="849"/>
      <c r="H61" s="185"/>
      <c r="I61" s="149" t="s">
        <v>136</v>
      </c>
      <c r="J61" s="842"/>
      <c r="K61" s="843"/>
      <c r="L61" s="844"/>
      <c r="N61" s="183"/>
      <c r="O61" s="183"/>
      <c r="P61" s="183"/>
      <c r="Q61" s="183"/>
      <c r="R61" s="183"/>
      <c r="S61" s="183"/>
      <c r="T61" s="183"/>
      <c r="U61" s="183"/>
      <c r="V61" s="183"/>
      <c r="W61" s="183"/>
      <c r="X61" s="183">
        <f>Tables!C139</f>
        <v>750000</v>
      </c>
      <c r="Y61" s="183">
        <f>Tables!D139</f>
        <v>1000000</v>
      </c>
      <c r="Z61" s="183">
        <f>Tables!E139</f>
        <v>1500000</v>
      </c>
      <c r="AA61" s="183">
        <f>Tables!F139</f>
        <v>2000000</v>
      </c>
      <c r="AB61" s="183">
        <f>Tables!G139</f>
        <v>2500000</v>
      </c>
      <c r="AC61" s="183">
        <f>Tables!H139</f>
        <v>3000000</v>
      </c>
      <c r="AD61" s="183"/>
      <c r="AE61" s="183"/>
      <c r="AF61" s="183"/>
      <c r="AG61" s="183"/>
      <c r="AH61" s="183"/>
      <c r="AI61" s="183"/>
      <c r="AJ61" s="183"/>
      <c r="AK61" s="183"/>
      <c r="AL61" s="183"/>
      <c r="AM61" s="183"/>
      <c r="AN61" s="183"/>
      <c r="AO61" s="183"/>
      <c r="AQ61" s="183"/>
      <c r="AR61" s="183"/>
      <c r="AS61" s="116"/>
    </row>
    <row r="62" spans="2:45" ht="18" customHeight="1" x14ac:dyDescent="0.2">
      <c r="B62" s="827" t="s">
        <v>134</v>
      </c>
      <c r="C62" s="830"/>
      <c r="D62" s="831"/>
      <c r="E62" s="831"/>
      <c r="F62" s="831"/>
      <c r="G62" s="832"/>
      <c r="H62" s="185"/>
      <c r="I62" s="494" t="s">
        <v>137</v>
      </c>
      <c r="J62" s="830"/>
      <c r="K62" s="845"/>
      <c r="L62" s="846"/>
      <c r="N62" s="183"/>
      <c r="O62" s="183"/>
      <c r="P62" s="183"/>
      <c r="Q62" s="183"/>
      <c r="R62" s="183"/>
      <c r="S62" s="183"/>
      <c r="T62" s="183"/>
      <c r="U62" s="183"/>
      <c r="V62" s="183"/>
      <c r="W62" s="183"/>
      <c r="X62" s="413" t="e">
        <f>+Tables!C148</f>
        <v>#N/A</v>
      </c>
      <c r="Y62" s="413" t="e">
        <f>+Tables!D148</f>
        <v>#N/A</v>
      </c>
      <c r="Z62" s="413" t="e">
        <f>+Tables!E148</f>
        <v>#N/A</v>
      </c>
      <c r="AA62" s="413" t="e">
        <f>+Tables!F148</f>
        <v>#N/A</v>
      </c>
      <c r="AB62" s="413" t="e">
        <f>+Tables!F148</f>
        <v>#N/A</v>
      </c>
      <c r="AC62" s="413" t="e">
        <f>+Tables!G148</f>
        <v>#N/A</v>
      </c>
      <c r="AD62" s="183"/>
      <c r="AE62" s="183"/>
      <c r="AF62" s="183"/>
      <c r="AG62" s="183"/>
      <c r="AH62" s="183"/>
      <c r="AI62" s="183"/>
      <c r="AJ62" s="183"/>
      <c r="AK62" s="183"/>
      <c r="AL62" s="183"/>
      <c r="AM62" s="183"/>
      <c r="AN62" s="183"/>
      <c r="AO62" s="183"/>
      <c r="AQ62" s="183"/>
      <c r="AR62" s="183"/>
      <c r="AS62" s="116"/>
    </row>
    <row r="63" spans="2:45" ht="18" customHeight="1" x14ac:dyDescent="0.2">
      <c r="B63" s="828"/>
      <c r="C63" s="833"/>
      <c r="D63" s="834"/>
      <c r="E63" s="834"/>
      <c r="F63" s="834"/>
      <c r="G63" s="835"/>
      <c r="H63" s="185"/>
      <c r="I63" s="494"/>
      <c r="J63" s="942"/>
      <c r="K63" s="943"/>
      <c r="L63" s="944"/>
      <c r="N63" s="183"/>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Q63" s="183"/>
      <c r="AR63" s="183"/>
      <c r="AS63" s="116"/>
    </row>
    <row r="64" spans="2:45" ht="18" customHeight="1" x14ac:dyDescent="0.2">
      <c r="B64" s="828"/>
      <c r="C64" s="833"/>
      <c r="D64" s="834"/>
      <c r="E64" s="834"/>
      <c r="F64" s="834"/>
      <c r="G64" s="835"/>
      <c r="H64" s="185"/>
      <c r="I64" s="190"/>
      <c r="J64" s="942"/>
      <c r="K64" s="943"/>
      <c r="L64" s="944"/>
      <c r="N64" s="183"/>
      <c r="O64" s="183"/>
      <c r="P64" s="183"/>
      <c r="Q64" s="183"/>
      <c r="R64" s="183"/>
      <c r="S64" s="183"/>
      <c r="T64" s="183"/>
      <c r="U64" s="183"/>
      <c r="V64" s="183"/>
      <c r="W64" s="25" t="s">
        <v>194</v>
      </c>
      <c r="X64" s="422" t="e">
        <f>+Tables!C143</f>
        <v>#N/A</v>
      </c>
      <c r="Y64" s="422" t="e">
        <f>+Tables!D143</f>
        <v>#N/A</v>
      </c>
      <c r="Z64" s="422" t="e">
        <f>+Tables!E143</f>
        <v>#N/A</v>
      </c>
      <c r="AA64" s="422" t="e">
        <f>+Tables!F143</f>
        <v>#N/A</v>
      </c>
      <c r="AB64" s="422" t="e">
        <f>+Tables!F143</f>
        <v>#N/A</v>
      </c>
      <c r="AC64" s="422" t="e">
        <f>+Tables!G143</f>
        <v>#N/A</v>
      </c>
      <c r="AD64" s="183"/>
      <c r="AE64" s="183"/>
      <c r="AF64" s="183"/>
      <c r="AG64" s="183"/>
      <c r="AH64" s="183"/>
      <c r="AI64" s="183"/>
      <c r="AJ64" s="183"/>
      <c r="AK64" s="183"/>
      <c r="AL64" s="183"/>
      <c r="AM64" s="183"/>
      <c r="AN64" s="183"/>
      <c r="AO64" s="183"/>
      <c r="AQ64" s="183"/>
      <c r="AR64" s="183"/>
      <c r="AS64" s="116"/>
    </row>
    <row r="65" spans="2:45" ht="18" customHeight="1" x14ac:dyDescent="0.2">
      <c r="B65" s="828"/>
      <c r="C65" s="833"/>
      <c r="D65" s="834"/>
      <c r="E65" s="834"/>
      <c r="F65" s="834"/>
      <c r="G65" s="835"/>
      <c r="H65" s="185"/>
      <c r="I65" s="190"/>
      <c r="J65" s="847"/>
      <c r="K65" s="848"/>
      <c r="L65" s="849"/>
      <c r="N65" s="183"/>
      <c r="O65" s="183"/>
      <c r="P65" s="183"/>
      <c r="Q65" s="183"/>
      <c r="R65" s="183"/>
      <c r="S65" s="183"/>
      <c r="T65" s="183"/>
      <c r="U65" s="183"/>
      <c r="V65" s="183"/>
      <c r="W65" s="25" t="s">
        <v>1455</v>
      </c>
      <c r="X65" s="422">
        <f>+Tables!C144</f>
        <v>0</v>
      </c>
      <c r="Y65" s="422">
        <f>+Tables!D144</f>
        <v>0</v>
      </c>
      <c r="Z65" s="422">
        <f>+Tables!E144</f>
        <v>0</v>
      </c>
      <c r="AA65" s="422">
        <f>+Tables!F144</f>
        <v>0.98</v>
      </c>
      <c r="AB65" s="422">
        <f>+Tables!F144</f>
        <v>0.98</v>
      </c>
      <c r="AC65" s="422">
        <f>+Tables!G144</f>
        <v>0.98</v>
      </c>
      <c r="AD65" s="183"/>
      <c r="AE65" s="183"/>
      <c r="AF65" s="183"/>
      <c r="AG65" s="183"/>
      <c r="AH65" s="183"/>
      <c r="AI65" s="183"/>
      <c r="AJ65" s="183"/>
      <c r="AK65" s="183"/>
      <c r="AL65" s="183"/>
      <c r="AM65" s="183"/>
      <c r="AN65" s="183"/>
      <c r="AO65" s="183"/>
      <c r="AQ65" s="183"/>
      <c r="AR65" s="183"/>
      <c r="AS65" s="116"/>
    </row>
    <row r="66" spans="2:45" ht="18" customHeight="1" x14ac:dyDescent="0.2">
      <c r="B66" s="828"/>
      <c r="C66" s="833"/>
      <c r="D66" s="834"/>
      <c r="E66" s="834"/>
      <c r="F66" s="834"/>
      <c r="G66" s="835"/>
      <c r="H66" s="185"/>
      <c r="I66" s="494" t="s">
        <v>138</v>
      </c>
      <c r="J66" s="492"/>
      <c r="K66" s="151" t="s">
        <v>128</v>
      </c>
      <c r="L66" s="493"/>
      <c r="N66" s="183"/>
      <c r="O66" s="183"/>
      <c r="P66" s="183"/>
      <c r="Q66" s="183"/>
      <c r="R66" s="183"/>
      <c r="S66" s="183"/>
      <c r="T66" s="183"/>
      <c r="U66" s="183"/>
      <c r="V66" s="183"/>
      <c r="W66" s="25" t="s">
        <v>305</v>
      </c>
      <c r="X66" s="422">
        <f>+Tables!C145</f>
        <v>0</v>
      </c>
      <c r="Y66" s="422">
        <f>+Tables!D145</f>
        <v>0</v>
      </c>
      <c r="Z66" s="422">
        <f>+Tables!E145</f>
        <v>0</v>
      </c>
      <c r="AA66" s="422">
        <v>0.95</v>
      </c>
      <c r="AB66" s="422">
        <f>+Tables!F145</f>
        <v>0</v>
      </c>
      <c r="AC66" s="422">
        <f>+Tables!G145</f>
        <v>0.95</v>
      </c>
      <c r="AD66" s="183"/>
      <c r="AE66" s="183"/>
      <c r="AF66" s="183"/>
      <c r="AG66" s="183"/>
      <c r="AH66" s="183"/>
      <c r="AI66" s="183"/>
      <c r="AJ66" s="183"/>
      <c r="AK66" s="183"/>
      <c r="AL66" s="183"/>
      <c r="AM66" s="183"/>
      <c r="AN66" s="183"/>
      <c r="AO66" s="183"/>
      <c r="AQ66" s="183"/>
      <c r="AR66" s="183"/>
      <c r="AS66" s="116"/>
    </row>
    <row r="67" spans="2:45" ht="18" customHeight="1" thickBot="1" x14ac:dyDescent="0.25">
      <c r="B67" s="829"/>
      <c r="C67" s="836"/>
      <c r="D67" s="837"/>
      <c r="E67" s="837"/>
      <c r="F67" s="837"/>
      <c r="G67" s="838"/>
      <c r="H67" s="245"/>
      <c r="I67" s="150" t="s">
        <v>139</v>
      </c>
      <c r="J67" s="946"/>
      <c r="K67" s="947"/>
      <c r="L67" s="948"/>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c r="AM67" s="183"/>
      <c r="AN67" s="183"/>
      <c r="AO67" s="183"/>
      <c r="AQ67" s="183"/>
    </row>
  </sheetData>
  <sheetProtection selectLockedCells="1"/>
  <dataConsolidate/>
  <mergeCells count="57">
    <mergeCell ref="D20:E20"/>
    <mergeCell ref="J58:L58"/>
    <mergeCell ref="J59:L59"/>
    <mergeCell ref="J62:L65"/>
    <mergeCell ref="B56:C56"/>
    <mergeCell ref="B55:C55"/>
    <mergeCell ref="B53:G53"/>
    <mergeCell ref="B60:B61"/>
    <mergeCell ref="C60:G61"/>
    <mergeCell ref="B62:B67"/>
    <mergeCell ref="C62:G67"/>
    <mergeCell ref="B59:G59"/>
    <mergeCell ref="J67:L67"/>
    <mergeCell ref="J61:L61"/>
    <mergeCell ref="I53:L53"/>
    <mergeCell ref="D40:E40"/>
    <mergeCell ref="D15:E15"/>
    <mergeCell ref="D11:E11"/>
    <mergeCell ref="B4:D4"/>
    <mergeCell ref="H4:J4"/>
    <mergeCell ref="D12:E12"/>
    <mergeCell ref="D10:E10"/>
    <mergeCell ref="D9:E9"/>
    <mergeCell ref="D8:E8"/>
    <mergeCell ref="D14:E14"/>
    <mergeCell ref="D13:E13"/>
    <mergeCell ref="I9:J9"/>
    <mergeCell ref="B6:G6"/>
    <mergeCell ref="I6:L6"/>
    <mergeCell ref="B57:C57"/>
    <mergeCell ref="J55:L55"/>
    <mergeCell ref="I57:L57"/>
    <mergeCell ref="J54:L54"/>
    <mergeCell ref="B42:L42"/>
    <mergeCell ref="C46:D46"/>
    <mergeCell ref="G51:H51"/>
    <mergeCell ref="J47:L47"/>
    <mergeCell ref="F47:I47"/>
    <mergeCell ref="J51:K51"/>
    <mergeCell ref="J50:K50"/>
    <mergeCell ref="B54:C54"/>
    <mergeCell ref="Q50:S50"/>
    <mergeCell ref="I7:J7"/>
    <mergeCell ref="J20:K20"/>
    <mergeCell ref="I15:L15"/>
    <mergeCell ref="Q49:S49"/>
    <mergeCell ref="I8:J8"/>
    <mergeCell ref="B22:L22"/>
    <mergeCell ref="J14:K14"/>
    <mergeCell ref="I10:L10"/>
    <mergeCell ref="D7:E7"/>
    <mergeCell ref="D19:E19"/>
    <mergeCell ref="B49:E49"/>
    <mergeCell ref="D18:E18"/>
    <mergeCell ref="G40:H40"/>
    <mergeCell ref="D17:E17"/>
    <mergeCell ref="D16:E16"/>
  </mergeCells>
  <phoneticPr fontId="0" type="noConversion"/>
  <conditionalFormatting sqref="D36">
    <cfRule type="cellIs" dxfId="34" priority="2" operator="notEqual">
      <formula>0.038</formula>
    </cfRule>
  </conditionalFormatting>
  <conditionalFormatting sqref="E51 J51">
    <cfRule type="cellIs" dxfId="33" priority="25" operator="equal">
      <formula>"Board of Directors"</formula>
    </cfRule>
  </conditionalFormatting>
  <conditionalFormatting sqref="E51">
    <cfRule type="colorScale" priority="20">
      <colorScale>
        <cfvo type="num" val="3"/>
        <cfvo type="num" val="6"/>
        <cfvo type="num" val="7"/>
        <color rgb="FF92D050"/>
        <color rgb="FFFFEB84"/>
        <color rgb="FFFF0000"/>
      </colorScale>
    </cfRule>
  </conditionalFormatting>
  <conditionalFormatting sqref="F20">
    <cfRule type="cellIs" dxfId="32" priority="3" operator="notEqual">
      <formula>0</formula>
    </cfRule>
  </conditionalFormatting>
  <conditionalFormatting sqref="H25:H28">
    <cfRule type="cellIs" dxfId="31" priority="23" operator="equal">
      <formula>0.5</formula>
    </cfRule>
  </conditionalFormatting>
  <conditionalFormatting sqref="H35:H39">
    <cfRule type="cellIs" dxfId="30" priority="14" operator="equal">
      <formula>"Exc"</formula>
    </cfRule>
  </conditionalFormatting>
  <conditionalFormatting sqref="I14">
    <cfRule type="cellIs" dxfId="29" priority="1" operator="notEqual">
      <formula>0.8</formula>
    </cfRule>
  </conditionalFormatting>
  <conditionalFormatting sqref="I51">
    <cfRule type="cellIs" dxfId="28" priority="19" operator="notEqual">
      <formula>"Yes"</formula>
    </cfRule>
  </conditionalFormatting>
  <conditionalFormatting sqref="J18:J19">
    <cfRule type="containsBlanks" dxfId="27" priority="4">
      <formula>LEN(TRIM(J18))=0</formula>
    </cfRule>
  </conditionalFormatting>
  <conditionalFormatting sqref="K16">
    <cfRule type="cellIs" dxfId="26" priority="8" operator="equal">
      <formula>"Disc applied"</formula>
    </cfRule>
  </conditionalFormatting>
  <conditionalFormatting sqref="L20">
    <cfRule type="cellIs" dxfId="25" priority="11" operator="equal">
      <formula>$L$17</formula>
    </cfRule>
  </conditionalFormatting>
  <conditionalFormatting sqref="L51">
    <cfRule type="cellIs" dxfId="24" priority="26" stopIfTrue="1" operator="equal">
      <formula>"No"</formula>
    </cfRule>
  </conditionalFormatting>
  <dataValidations count="23">
    <dataValidation type="list" allowBlank="1" showInputMessage="1" showErrorMessage="1" sqref="G8:G19 K7:K9 K12:K13 D29:D34" xr:uid="{F117D1ED-F94A-4523-885E-D278D274FEAE}">
      <formula1>Period</formula1>
    </dataValidation>
    <dataValidation type="list" allowBlank="1" showInputMessage="1" showErrorMessage="1" sqref="I51 G44:G45 G55:G58" xr:uid="{B457F112-44D3-4C3C-A507-5F04C5AD3F88}">
      <formula1>Confirmed</formula1>
    </dataValidation>
    <dataValidation type="whole" allowBlank="1" showInputMessage="1" showErrorMessage="1" error="Invalid number" sqref="J16" xr:uid="{9A12BC9A-61CC-40C6-805C-649D443C6BF0}">
      <formula1>1</formula1>
      <formula2>2</formula2>
    </dataValidation>
    <dataValidation type="whole" allowBlank="1" showInputMessage="1" showErrorMessage="1" error="Invalid number" sqref="J17" xr:uid="{53D82B09-613D-4530-8184-81A3D688DDB5}">
      <formula1>0</formula1>
      <formula2>6</formula2>
    </dataValidation>
    <dataValidation allowBlank="1" showInputMessage="1" showErrorMessage="1" error="Enter value_x000a_" sqref="J12:J13 L7:L9" xr:uid="{2B5CFC5F-D5D2-4D21-AFCF-04562001F76F}"/>
    <dataValidation type="list" allowBlank="1" showInputMessage="1" showErrorMessage="1" sqref="H32" xr:uid="{4A2DAB76-3AE7-4161-A663-943455468244}">
      <formula1>"50%"</formula1>
    </dataValidation>
    <dataValidation type="list" allowBlank="1" showInputMessage="1" showErrorMessage="1" sqref="H29:H31 H33:H34" xr:uid="{0372CD3D-3AE1-4BF2-B4FE-060D4F9DDC7A}">
      <formula1>"Y"</formula1>
    </dataValidation>
    <dataValidation allowBlank="1" showInputMessage="1" showErrorMessage="1" error="Enter value" sqref="F58 E25:E39" xr:uid="{9287B7B7-118F-4F5F-B4D8-CBCE500E384B}"/>
    <dataValidation type="whole" allowBlank="1" showInputMessage="1" showErrorMessage="1" error="Enter value" sqref="F55:F57" xr:uid="{BB2C40B2-CACA-4FC3-B302-59BDB846ADB9}">
      <formula1>0</formula1>
      <formula2>10000000000000000</formula2>
    </dataValidation>
    <dataValidation type="decimal" allowBlank="1" showInputMessage="1" showErrorMessage="1" error="Enter value_x000a_" sqref="E55:E57" xr:uid="{51D86561-F1C7-46E4-BCE8-81236492FD10}">
      <formula1>0</formula1>
      <formula2>1</formula2>
    </dataValidation>
    <dataValidation type="list" allowBlank="1" showInputMessage="1" showErrorMessage="1" sqref="D25:D28" xr:uid="{01501453-FBDB-4121-A67F-FE4BEBECE8B1}">
      <formula1>Interest_Type</formula1>
    </dataValidation>
    <dataValidation type="whole" allowBlank="1" showInputMessage="1" showErrorMessage="1" error="Exceeds maximum term allowable" sqref="G24:G28" xr:uid="{6C9502B5-A26D-46FB-86EB-00F046F84CA0}">
      <formula1>0</formula1>
      <formula2>360</formula2>
    </dataValidation>
    <dataValidation type="list" allowBlank="1" showInputMessage="1" showErrorMessage="1" sqref="C58:D58" xr:uid="{769CC6C6-1EF5-4AF3-944E-C83B3A231F0B}">
      <formula1>CreditReport</formula1>
    </dataValidation>
    <dataValidation type="list" allowBlank="1" showInputMessage="1" showErrorMessage="1" sqref="M7:M9 M12:M13" xr:uid="{06DA18D2-3763-4AFA-AA40-FB91EF376C87}">
      <formula1>App</formula1>
    </dataValidation>
    <dataValidation type="whole" allowBlank="1" showInputMessage="1" showErrorMessage="1" sqref="C8" xr:uid="{A45ADF3D-EEB6-4484-AC52-C5F752E4D10C}">
      <formula1>1</formula1>
      <formula2>300000</formula2>
    </dataValidation>
    <dataValidation type="list" allowBlank="1" showInputMessage="1" showErrorMessage="1" sqref="B35" xr:uid="{6544821E-6876-461B-971D-5A4A9A476039}">
      <formula1>"Overdraft,Credit Card"</formula1>
    </dataValidation>
    <dataValidation type="list" allowBlank="1" showInputMessage="1" showErrorMessage="1" sqref="B26:B28" xr:uid="{8781282A-A803-462C-A507-4A2AAF9D32DF}">
      <formula1>"Home Loan,Investment Loan"</formula1>
    </dataValidation>
    <dataValidation type="list" allowBlank="1" showInputMessage="1" showErrorMessage="1" sqref="B30" xr:uid="{34D94CDA-69EF-4F35-AEF4-9762EA146692}">
      <formula1>"Car Loan/Lease,Personal Loan"</formula1>
    </dataValidation>
    <dataValidation type="list" allowBlank="1" showInputMessage="1" showErrorMessage="1" sqref="J20:K20" xr:uid="{F0DF65B6-6606-4497-BD77-13725D4D86A7}">
      <formula1>Location</formula1>
    </dataValidation>
    <dataValidation type="list" allowBlank="1" showInputMessage="1" showErrorMessage="1" sqref="K16" xr:uid="{D4B332A1-0663-4CA5-B645-DF18E1531515}">
      <formula1>"Disc applied"</formula1>
    </dataValidation>
    <dataValidation type="list" allowBlank="1" showInputMessage="1" showErrorMessage="1" sqref="J21" xr:uid="{CFEA404C-2D15-4C14-8DEB-9541D2FA2286}">
      <formula1>$A$191:$A$193</formula1>
    </dataValidation>
    <dataValidation type="list" allowBlank="1" showInputMessage="1" showErrorMessage="1" sqref="D36" xr:uid="{91E379CE-C9DD-4C93-84B7-217AD5FF4743}">
      <formula1>CC_Rates</formula1>
    </dataValidation>
    <dataValidation type="list" allowBlank="1" showInputMessage="1" showErrorMessage="1" sqref="I14" xr:uid="{10826F08-771D-4EC5-B349-1013B0DF6AE2}">
      <formula1>Rent_Discount</formula1>
    </dataValidation>
  </dataValidations>
  <pageMargins left="0.23622047244094491" right="0.23622047244094491" top="0.23622047244094491" bottom="0.23622047244094491" header="0.31496062992125984" footer="0.31496062992125984"/>
  <pageSetup paperSize="9" scale="71"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6">
        <x14:dataValidation type="list" allowBlank="1" showInputMessage="1" showErrorMessage="1" xr:uid="{06B4248E-519C-4D32-9212-D7B47ED29198}">
          <x14:formula1>
            <xm:f>Tables!$C$365:$C$366</xm:f>
          </x14:formula1>
          <xm:sqref>C13 C19</xm:sqref>
        </x14:dataValidation>
        <x14:dataValidation type="list" allowBlank="1" showInputMessage="1" showErrorMessage="1" xr:uid="{60F0EF06-D80C-4D35-84D3-60ABD1F2F84A}">
          <x14:formula1>
            <xm:f>Tables!$C$369:$C$370</xm:f>
          </x14:formula1>
          <xm:sqref>C18 C12</xm:sqref>
        </x14:dataValidation>
        <x14:dataValidation type="list" allowBlank="1" showInputMessage="1" showErrorMessage="1" xr:uid="{7BB9A84E-A6B6-4656-8BF6-71ADB57D1B9A}">
          <x14:formula1>
            <xm:f>Tables!$A$358:$A$362</xm:f>
          </x14:formula1>
          <xm:sqref>I7:J9</xm:sqref>
        </x14:dataValidation>
        <x14:dataValidation type="list" allowBlank="1" showInputMessage="1" showErrorMessage="1" xr:uid="{70A65A77-7B75-400E-9DD3-8C21A8A9EB19}">
          <x14:formula1>
            <xm:f>Tables!$D$373:$D$374</xm:f>
          </x14:formula1>
          <xm:sqref>H35:H39</xm:sqref>
        </x14:dataValidation>
        <x14:dataValidation type="list" allowBlank="1" showInputMessage="1" showErrorMessage="1" xr:uid="{2FFFDBE3-34F8-4239-8FD8-F8AA6B847E1C}">
          <x14:formula1>
            <xm:f>Tables!$C$379:$C$380</xm:f>
          </x14:formula1>
          <xm:sqref>B39</xm:sqref>
        </x14:dataValidation>
        <x14:dataValidation type="list" allowBlank="1" showInputMessage="1" showErrorMessage="1" xr:uid="{E47F0568-56F5-4037-AA60-8B6ED40A642C}">
          <x14:formula1>
            <xm:f>Tables!$A$394:$A$400</xm:f>
          </x14:formula1>
          <xm:sqref>F44:F45</xm:sqref>
        </x14:dataValidation>
        <x14:dataValidation type="list" allowBlank="1" showInputMessage="1" showErrorMessage="1" xr:uid="{E437E8A8-4EF8-4D50-BBFA-C74708755F70}">
          <x14:formula1>
            <xm:f>Tables!$A$389:$A$391</xm:f>
          </x14:formula1>
          <xm:sqref>I46</xm:sqref>
        </x14:dataValidation>
        <x14:dataValidation type="list" allowBlank="1" showInputMessage="1" showErrorMessage="1" xr:uid="{F8313703-570F-45B6-A879-7E1EB434655E}">
          <x14:formula1>
            <xm:f>Tables!$A$385:$A$386</xm:f>
          </x14:formula1>
          <xm:sqref>K44:K45</xm:sqref>
        </x14:dataValidation>
        <x14:dataValidation type="list" allowBlank="1" showInputMessage="1" showErrorMessage="1" xr:uid="{67218065-2005-417D-9E0E-EE386BFD0723}">
          <x14:formula1>
            <xm:f>Tables!$C$373:$C$374</xm:f>
          </x14:formula1>
          <xm:sqref>H25:H28</xm:sqref>
        </x14:dataValidation>
        <x14:dataValidation type="list" allowBlank="1" showInputMessage="1" showErrorMessage="1" xr:uid="{7CBF0AC7-D133-484D-B5E0-31FE04549A4E}">
          <x14:formula1>
            <xm:f>Tables!$A$385:$A$387</xm:f>
          </x14:formula1>
          <xm:sqref>J18:J19</xm:sqref>
        </x14:dataValidation>
        <x14:dataValidation type="list" allowBlank="1" showInputMessage="1" showErrorMessage="1" xr:uid="{6A5F2E9E-4C92-4C94-97F1-02D390950A0A}">
          <x14:formula1>
            <xm:f>Tables!$A$379:$A$383</xm:f>
          </x14:formula1>
          <xm:sqref>F33:F34</xm:sqref>
        </x14:dataValidation>
        <x14:dataValidation type="list" allowBlank="1" showInputMessage="1" showErrorMessage="1" xr:uid="{1421E683-76E8-4198-9DA4-59F99BC56EDB}">
          <x14:formula1>
            <xm:f>Tables!$A$389:$A$392</xm:f>
          </x14:formula1>
          <xm:sqref>I44:I45</xm:sqref>
        </x14:dataValidation>
        <x14:dataValidation type="list" allowBlank="1" showInputMessage="1" showErrorMessage="1" xr:uid="{4209103E-6F1E-4732-8000-E7F7E71C596F}">
          <x14:formula1>
            <xm:f>Tables!$A$30:$A$138</xm:f>
          </x14:formula1>
          <xm:sqref>D24</xm:sqref>
        </x14:dataValidation>
        <x14:dataValidation type="list" allowBlank="1" showInputMessage="1" showErrorMessage="1" xr:uid="{772D8D73-6942-4236-A368-8D662B4F49F5}">
          <x14:formula1>
            <xm:f>Tables!$F$4:$F$6</xm:f>
          </x14:formula1>
          <xm:sqref>J67:L67</xm:sqref>
        </x14:dataValidation>
        <x14:dataValidation type="list" allowBlank="1" showInputMessage="1" showErrorMessage="1" xr:uid="{8C0BA4DD-9575-4E85-8FB9-3F46460F5A76}">
          <x14:formula1>
            <xm:f>Tables!$D$4:$D$13</xm:f>
          </x14:formula1>
          <xm:sqref>J54:L54</xm:sqref>
        </x14:dataValidation>
        <x14:dataValidation type="list" allowBlank="1" showInputMessage="1" showErrorMessage="1" xr:uid="{CEBBA2AE-2BDA-441D-895A-5BAC840391D4}">
          <x14:formula1>
            <xm:f>Tables!$A$4:$A$8</xm:f>
          </x14:formula1>
          <xm:sqref>J58:L58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U412"/>
  <sheetViews>
    <sheetView topLeftCell="A161" zoomScaleNormal="100" workbookViewId="0">
      <selection activeCell="C185" sqref="C185"/>
    </sheetView>
  </sheetViews>
  <sheetFormatPr defaultColWidth="9.140625" defaultRowHeight="12.75" customHeight="1" x14ac:dyDescent="0.2"/>
  <cols>
    <col min="1" max="1" width="33.140625" style="37" customWidth="1"/>
    <col min="2" max="2" width="16.7109375" style="37" customWidth="1"/>
    <col min="3" max="3" width="11.28515625" style="35" customWidth="1"/>
    <col min="4" max="4" width="13" style="35" customWidth="1"/>
    <col min="5" max="5" width="11.28515625" style="35" bestFit="1" customWidth="1"/>
    <col min="6" max="6" width="12.7109375" style="35" bestFit="1" customWidth="1"/>
    <col min="7" max="7" width="12" style="35" customWidth="1"/>
    <col min="8" max="8" width="11.42578125" style="35" bestFit="1" customWidth="1"/>
    <col min="9" max="10" width="10" style="35" bestFit="1" customWidth="1"/>
    <col min="11" max="12" width="11.140625" style="35" bestFit="1" customWidth="1"/>
    <col min="13" max="13" width="11.28515625" style="35" bestFit="1" customWidth="1"/>
    <col min="14" max="17" width="9.140625" style="35"/>
    <col min="18" max="18" width="43.28515625" style="35" customWidth="1"/>
    <col min="19" max="16384" width="9.140625" style="35"/>
  </cols>
  <sheetData>
    <row r="1" spans="1:6" ht="12.75" customHeight="1" x14ac:dyDescent="0.2">
      <c r="A1" s="34" t="s">
        <v>141</v>
      </c>
      <c r="B1" s="34"/>
    </row>
    <row r="2" spans="1:6" ht="12.75" customHeight="1" x14ac:dyDescent="0.2">
      <c r="A2" s="18"/>
      <c r="B2" s="18"/>
      <c r="C2" s="19"/>
      <c r="D2" s="19"/>
      <c r="E2" s="19"/>
      <c r="F2" s="19"/>
    </row>
    <row r="3" spans="1:6" ht="12.75" customHeight="1" x14ac:dyDescent="0.2">
      <c r="A3" s="20" t="s">
        <v>142</v>
      </c>
      <c r="B3" s="20"/>
      <c r="D3" s="27" t="s">
        <v>143</v>
      </c>
      <c r="F3" s="27" t="s">
        <v>135</v>
      </c>
    </row>
    <row r="4" spans="1:6" ht="12.75" customHeight="1" x14ac:dyDescent="0.2">
      <c r="A4" s="564" t="s">
        <v>306</v>
      </c>
      <c r="B4" s="18"/>
      <c r="D4" s="133" t="s">
        <v>1656</v>
      </c>
      <c r="F4" s="145" t="s">
        <v>1431</v>
      </c>
    </row>
    <row r="5" spans="1:6" ht="12.75" customHeight="1" x14ac:dyDescent="0.2">
      <c r="A5" s="138" t="s">
        <v>307</v>
      </c>
      <c r="B5" s="21"/>
      <c r="D5" s="679" t="s">
        <v>1609</v>
      </c>
      <c r="F5" s="145" t="s">
        <v>1439</v>
      </c>
    </row>
    <row r="6" spans="1:6" ht="12.75" customHeight="1" x14ac:dyDescent="0.2">
      <c r="A6" s="145" t="s">
        <v>1431</v>
      </c>
      <c r="B6" s="21"/>
      <c r="D6" s="133" t="s">
        <v>308</v>
      </c>
      <c r="F6" s="144" t="s">
        <v>1414</v>
      </c>
    </row>
    <row r="7" spans="1:6" ht="12.75" customHeight="1" x14ac:dyDescent="0.2">
      <c r="A7" s="145" t="s">
        <v>1414</v>
      </c>
      <c r="B7" s="21"/>
      <c r="D7" s="497" t="s">
        <v>310</v>
      </c>
    </row>
    <row r="8" spans="1:6" ht="12.75" customHeight="1" x14ac:dyDescent="0.2">
      <c r="A8" s="145" t="s">
        <v>1439</v>
      </c>
      <c r="B8" s="21"/>
      <c r="D8" s="497" t="s">
        <v>309</v>
      </c>
      <c r="F8" s="19"/>
    </row>
    <row r="9" spans="1:6" ht="12.75" customHeight="1" x14ac:dyDescent="0.2">
      <c r="B9" s="21"/>
      <c r="D9" s="497" t="s">
        <v>1619</v>
      </c>
      <c r="F9" s="19"/>
    </row>
    <row r="10" spans="1:6" ht="12.75" customHeight="1" x14ac:dyDescent="0.2">
      <c r="B10" s="21"/>
      <c r="D10" s="133" t="s">
        <v>1413</v>
      </c>
      <c r="F10" s="22"/>
    </row>
    <row r="11" spans="1:6" ht="12.75" customHeight="1" x14ac:dyDescent="0.2">
      <c r="A11" s="21"/>
      <c r="B11" s="21"/>
      <c r="D11" s="679"/>
      <c r="F11" s="22"/>
    </row>
    <row r="12" spans="1:6" ht="12.75" customHeight="1" x14ac:dyDescent="0.2">
      <c r="A12" s="21"/>
      <c r="B12" s="21"/>
      <c r="D12" s="679"/>
      <c r="F12" s="22"/>
    </row>
    <row r="13" spans="1:6" ht="12.75" customHeight="1" x14ac:dyDescent="0.2">
      <c r="A13" s="21"/>
      <c r="B13" s="21"/>
      <c r="D13" s="679"/>
      <c r="F13" s="22"/>
    </row>
    <row r="14" spans="1:6" ht="12.75" customHeight="1" x14ac:dyDescent="0.2">
      <c r="A14" s="21"/>
      <c r="B14" s="21"/>
      <c r="F14" s="22"/>
    </row>
    <row r="15" spans="1:6" ht="12.75" customHeight="1" x14ac:dyDescent="0.2">
      <c r="F15" s="22"/>
    </row>
    <row r="16" spans="1:6" ht="12.75" customHeight="1" x14ac:dyDescent="0.2">
      <c r="F16" s="22"/>
    </row>
    <row r="18" spans="1:13" ht="12.75" customHeight="1" thickBot="1" x14ac:dyDescent="0.25">
      <c r="A18" s="677" t="s">
        <v>148</v>
      </c>
      <c r="B18" s="678" t="s">
        <v>148</v>
      </c>
    </row>
    <row r="19" spans="1:13" ht="12.75" customHeight="1" thickTop="1" x14ac:dyDescent="0.2">
      <c r="A19" s="669" t="s">
        <v>144</v>
      </c>
      <c r="B19" s="670" t="s">
        <v>145</v>
      </c>
    </row>
    <row r="20" spans="1:13" ht="12.75" customHeight="1" x14ac:dyDescent="0.2">
      <c r="A20" s="671" t="s">
        <v>146</v>
      </c>
      <c r="B20" s="672" t="s">
        <v>147</v>
      </c>
    </row>
    <row r="21" spans="1:13" ht="12.75" customHeight="1" x14ac:dyDescent="0.2">
      <c r="A21" s="673" t="s">
        <v>311</v>
      </c>
      <c r="B21" s="674" t="s">
        <v>312</v>
      </c>
    </row>
    <row r="22" spans="1:13" ht="12.75" customHeight="1" x14ac:dyDescent="0.2">
      <c r="A22" s="671" t="s">
        <v>1453</v>
      </c>
      <c r="B22" s="675" t="s">
        <v>1453</v>
      </c>
    </row>
    <row r="23" spans="1:13" ht="12.75" customHeight="1" x14ac:dyDescent="0.2">
      <c r="A23" s="673" t="s">
        <v>1454</v>
      </c>
      <c r="B23" s="674" t="s">
        <v>1454</v>
      </c>
    </row>
    <row r="24" spans="1:13" ht="12.75" customHeight="1" x14ac:dyDescent="0.2">
      <c r="A24" s="671" t="s">
        <v>1456</v>
      </c>
      <c r="B24" s="676" t="s">
        <v>1456</v>
      </c>
    </row>
    <row r="25" spans="1:13" ht="12.75" customHeight="1" x14ac:dyDescent="0.2">
      <c r="A25" s="677" t="s">
        <v>148</v>
      </c>
      <c r="B25" s="678" t="s">
        <v>148</v>
      </c>
    </row>
    <row r="28" spans="1:13" ht="12.75" customHeight="1" x14ac:dyDescent="0.2">
      <c r="A28" s="18"/>
      <c r="B28" s="18"/>
    </row>
    <row r="29" spans="1:13" ht="12.75" customHeight="1" x14ac:dyDescent="0.2">
      <c r="A29" s="23" t="s">
        <v>149</v>
      </c>
      <c r="B29" s="23"/>
      <c r="C29" s="19" t="s">
        <v>144</v>
      </c>
      <c r="D29" s="35" t="s">
        <v>146</v>
      </c>
      <c r="E29" s="19" t="s">
        <v>1620</v>
      </c>
      <c r="F29" s="35" t="s">
        <v>1620</v>
      </c>
      <c r="G29" s="19" t="s">
        <v>1454</v>
      </c>
      <c r="H29" s="19" t="s">
        <v>1456</v>
      </c>
      <c r="I29" s="35" t="s">
        <v>150</v>
      </c>
      <c r="J29" s="19"/>
      <c r="K29" s="19" t="s">
        <v>313</v>
      </c>
      <c r="L29" s="430" t="s">
        <v>42</v>
      </c>
      <c r="M29" s="35" t="s">
        <v>314</v>
      </c>
    </row>
    <row r="30" spans="1:13" ht="12.75" customHeight="1" x14ac:dyDescent="0.2">
      <c r="A30" s="25" t="s">
        <v>315</v>
      </c>
      <c r="B30" s="25" t="s">
        <v>316</v>
      </c>
      <c r="C30" s="136">
        <v>20000</v>
      </c>
      <c r="D30" s="136">
        <v>30150</v>
      </c>
      <c r="E30" s="136">
        <v>40000</v>
      </c>
      <c r="F30" s="136">
        <v>50000</v>
      </c>
      <c r="G30" s="136">
        <v>50000</v>
      </c>
      <c r="H30" s="136">
        <v>100000</v>
      </c>
      <c r="I30" s="333">
        <v>84</v>
      </c>
      <c r="J30" s="19"/>
      <c r="K30" s="25" t="s">
        <v>317</v>
      </c>
      <c r="M30" s="35" t="s">
        <v>318</v>
      </c>
    </row>
    <row r="31" spans="1:13" ht="12.75" customHeight="1" x14ac:dyDescent="0.2">
      <c r="A31" s="25" t="s">
        <v>319</v>
      </c>
      <c r="B31" s="25" t="s">
        <v>316</v>
      </c>
      <c r="C31" s="136">
        <v>30000</v>
      </c>
      <c r="D31" s="136">
        <v>40000</v>
      </c>
      <c r="E31" s="136">
        <v>50000</v>
      </c>
      <c r="F31" s="136">
        <v>85000</v>
      </c>
      <c r="G31" s="136">
        <v>150000</v>
      </c>
      <c r="H31" s="136">
        <v>250000</v>
      </c>
      <c r="I31" s="333">
        <v>84</v>
      </c>
      <c r="J31" s="19"/>
      <c r="K31" s="25" t="s">
        <v>320</v>
      </c>
      <c r="M31" s="35" t="s">
        <v>318</v>
      </c>
    </row>
    <row r="32" spans="1:13" ht="12.75" customHeight="1" x14ac:dyDescent="0.2">
      <c r="A32" s="25" t="s">
        <v>321</v>
      </c>
      <c r="B32" s="25" t="s">
        <v>322</v>
      </c>
      <c r="C32" s="136">
        <v>60000</v>
      </c>
      <c r="D32" s="136">
        <v>100000</v>
      </c>
      <c r="E32" s="136">
        <v>150000</v>
      </c>
      <c r="F32" s="136">
        <v>200000</v>
      </c>
      <c r="G32" s="136">
        <v>250000</v>
      </c>
      <c r="H32" s="136">
        <v>300000</v>
      </c>
      <c r="I32" s="333">
        <v>84</v>
      </c>
      <c r="J32" s="19"/>
      <c r="K32" s="25" t="s">
        <v>320</v>
      </c>
      <c r="M32" s="35" t="s">
        <v>318</v>
      </c>
    </row>
    <row r="33" spans="1:13" ht="12.75" customHeight="1" x14ac:dyDescent="0.2">
      <c r="A33" s="25" t="s">
        <v>323</v>
      </c>
      <c r="B33" s="25" t="s">
        <v>324</v>
      </c>
      <c r="C33" s="136">
        <v>60000</v>
      </c>
      <c r="D33" s="136">
        <v>100000</v>
      </c>
      <c r="E33" s="136">
        <v>150000</v>
      </c>
      <c r="F33" s="136">
        <v>200000</v>
      </c>
      <c r="G33" s="136">
        <v>250000</v>
      </c>
      <c r="H33" s="136">
        <v>300000</v>
      </c>
      <c r="I33" s="333">
        <v>84</v>
      </c>
      <c r="J33" s="19"/>
      <c r="K33" s="25" t="s">
        <v>320</v>
      </c>
      <c r="M33" s="35" t="s">
        <v>318</v>
      </c>
    </row>
    <row r="34" spans="1:13" ht="12.75" customHeight="1" x14ac:dyDescent="0.2">
      <c r="A34" s="25" t="s">
        <v>325</v>
      </c>
      <c r="B34" s="25" t="s">
        <v>326</v>
      </c>
      <c r="C34" s="136">
        <v>60000</v>
      </c>
      <c r="D34" s="136">
        <v>100000</v>
      </c>
      <c r="E34" s="136">
        <v>150000</v>
      </c>
      <c r="F34" s="136">
        <v>200000</v>
      </c>
      <c r="G34" s="136">
        <v>250000</v>
      </c>
      <c r="H34" s="136">
        <v>300000</v>
      </c>
      <c r="I34" s="333">
        <v>84</v>
      </c>
      <c r="J34" s="19"/>
      <c r="K34" s="25" t="s">
        <v>320</v>
      </c>
      <c r="M34" s="35" t="s">
        <v>318</v>
      </c>
    </row>
    <row r="35" spans="1:13" ht="12.75" customHeight="1" x14ac:dyDescent="0.2">
      <c r="A35" s="25" t="s">
        <v>69</v>
      </c>
      <c r="B35" s="25" t="s">
        <v>327</v>
      </c>
      <c r="C35" s="136">
        <v>25000</v>
      </c>
      <c r="D35" s="136">
        <v>25000</v>
      </c>
      <c r="E35" s="136">
        <v>25000</v>
      </c>
      <c r="F35" s="136">
        <v>25000</v>
      </c>
      <c r="G35" s="136">
        <v>35000</v>
      </c>
      <c r="H35" s="136">
        <v>50000</v>
      </c>
      <c r="I35" s="333">
        <v>36</v>
      </c>
      <c r="K35" s="25" t="s">
        <v>317</v>
      </c>
      <c r="M35" s="35" t="s">
        <v>318</v>
      </c>
    </row>
    <row r="36" spans="1:13" ht="12.75" customHeight="1" x14ac:dyDescent="0.2">
      <c r="A36" s="25" t="s">
        <v>328</v>
      </c>
      <c r="B36" s="25" t="s">
        <v>329</v>
      </c>
      <c r="C36" s="136">
        <v>25000</v>
      </c>
      <c r="D36" s="136">
        <v>25000</v>
      </c>
      <c r="E36" s="136">
        <v>25000</v>
      </c>
      <c r="F36" s="136">
        <v>25000</v>
      </c>
      <c r="G36" s="136">
        <v>35000</v>
      </c>
      <c r="H36" s="136">
        <v>50000</v>
      </c>
      <c r="I36" s="333">
        <v>36</v>
      </c>
      <c r="K36" s="25" t="s">
        <v>317</v>
      </c>
      <c r="M36" s="35" t="s">
        <v>318</v>
      </c>
    </row>
    <row r="37" spans="1:13" ht="12.75" customHeight="1" x14ac:dyDescent="0.2">
      <c r="A37" s="41" t="s">
        <v>1459</v>
      </c>
      <c r="B37" s="25" t="s">
        <v>1460</v>
      </c>
      <c r="C37" s="136">
        <v>750000</v>
      </c>
      <c r="D37" s="136">
        <v>1000000</v>
      </c>
      <c r="E37" s="136">
        <v>1500000</v>
      </c>
      <c r="F37" s="136">
        <v>2000000</v>
      </c>
      <c r="G37" s="136">
        <v>2500000</v>
      </c>
      <c r="H37" s="136">
        <v>3000000</v>
      </c>
      <c r="I37" s="333">
        <v>360</v>
      </c>
      <c r="K37" s="335">
        <v>0.8</v>
      </c>
      <c r="L37" s="432"/>
      <c r="M37" s="35" t="s">
        <v>330</v>
      </c>
    </row>
    <row r="38" spans="1:13" ht="12.75" customHeight="1" x14ac:dyDescent="0.2">
      <c r="A38" s="41" t="s">
        <v>1461</v>
      </c>
      <c r="B38" s="25" t="s">
        <v>1462</v>
      </c>
      <c r="C38" s="136">
        <v>750000</v>
      </c>
      <c r="D38" s="136">
        <v>1000000</v>
      </c>
      <c r="E38" s="136">
        <v>1500000</v>
      </c>
      <c r="F38" s="136">
        <v>2000000</v>
      </c>
      <c r="G38" s="136">
        <v>2500000</v>
      </c>
      <c r="H38" s="136">
        <v>3000000</v>
      </c>
      <c r="I38" s="333">
        <v>360</v>
      </c>
      <c r="K38" s="335">
        <v>0.8</v>
      </c>
      <c r="L38" s="432">
        <v>0.9</v>
      </c>
      <c r="M38" s="35" t="s">
        <v>330</v>
      </c>
    </row>
    <row r="39" spans="1:13" ht="12.75" customHeight="1" x14ac:dyDescent="0.2">
      <c r="A39" s="41" t="s">
        <v>1463</v>
      </c>
      <c r="B39" s="25" t="s">
        <v>1464</v>
      </c>
      <c r="C39" s="136">
        <v>750000</v>
      </c>
      <c r="D39" s="136">
        <v>1000000</v>
      </c>
      <c r="E39" s="136">
        <v>1500000</v>
      </c>
      <c r="F39" s="136">
        <v>2000000</v>
      </c>
      <c r="G39" s="136">
        <v>2500000</v>
      </c>
      <c r="H39" s="136">
        <v>3000000</v>
      </c>
      <c r="I39" s="333">
        <v>360</v>
      </c>
      <c r="K39" s="335">
        <v>0.8</v>
      </c>
      <c r="L39" s="432">
        <v>0.95</v>
      </c>
      <c r="M39" s="35" t="s">
        <v>330</v>
      </c>
    </row>
    <row r="40" spans="1:13" ht="12.75" customHeight="1" x14ac:dyDescent="0.2">
      <c r="A40" s="41" t="s">
        <v>1465</v>
      </c>
      <c r="B40" s="25" t="s">
        <v>1466</v>
      </c>
      <c r="C40" s="136">
        <v>750000</v>
      </c>
      <c r="D40" s="136">
        <v>1000000</v>
      </c>
      <c r="E40" s="136">
        <v>1500000</v>
      </c>
      <c r="F40" s="136">
        <v>2000000</v>
      </c>
      <c r="G40" s="136">
        <v>2500000</v>
      </c>
      <c r="H40" s="136">
        <v>3000000</v>
      </c>
      <c r="I40" s="333">
        <v>360</v>
      </c>
      <c r="K40" s="335">
        <v>0.8</v>
      </c>
      <c r="M40" s="35" t="s">
        <v>330</v>
      </c>
    </row>
    <row r="41" spans="1:13" ht="12.75" customHeight="1" x14ac:dyDescent="0.2">
      <c r="A41" s="41" t="s">
        <v>1467</v>
      </c>
      <c r="B41" s="25" t="s">
        <v>1468</v>
      </c>
      <c r="C41" s="136">
        <v>750000</v>
      </c>
      <c r="D41" s="136">
        <v>1000000</v>
      </c>
      <c r="E41" s="136">
        <v>1500000</v>
      </c>
      <c r="F41" s="136">
        <v>2000000</v>
      </c>
      <c r="G41" s="136">
        <v>2500000</v>
      </c>
      <c r="H41" s="136">
        <v>3000000</v>
      </c>
      <c r="I41" s="333">
        <v>360</v>
      </c>
      <c r="K41" s="335">
        <v>0.8</v>
      </c>
      <c r="L41" s="432">
        <v>0.9</v>
      </c>
      <c r="M41" s="35" t="s">
        <v>330</v>
      </c>
    </row>
    <row r="42" spans="1:13" ht="12.75" customHeight="1" x14ac:dyDescent="0.2">
      <c r="A42" s="41" t="s">
        <v>1469</v>
      </c>
      <c r="B42" s="25" t="s">
        <v>1470</v>
      </c>
      <c r="C42" s="136">
        <v>750000</v>
      </c>
      <c r="D42" s="136">
        <v>1000000</v>
      </c>
      <c r="E42" s="136">
        <v>1500000</v>
      </c>
      <c r="F42" s="136">
        <v>2000000</v>
      </c>
      <c r="G42" s="136">
        <v>2500000</v>
      </c>
      <c r="H42" s="136">
        <v>3000000</v>
      </c>
      <c r="I42" s="333">
        <v>360</v>
      </c>
      <c r="K42" s="335">
        <v>0.8</v>
      </c>
      <c r="L42" s="432">
        <v>0.95</v>
      </c>
      <c r="M42" s="35" t="s">
        <v>330</v>
      </c>
    </row>
    <row r="43" spans="1:13" ht="12.75" customHeight="1" x14ac:dyDescent="0.2">
      <c r="A43" s="41" t="s">
        <v>1471</v>
      </c>
      <c r="B43" s="25" t="s">
        <v>1472</v>
      </c>
      <c r="C43" s="136">
        <v>750000</v>
      </c>
      <c r="D43" s="136">
        <v>1000000</v>
      </c>
      <c r="E43" s="136">
        <v>1500000</v>
      </c>
      <c r="F43" s="136">
        <v>2000000</v>
      </c>
      <c r="G43" s="136">
        <v>2500000</v>
      </c>
      <c r="H43" s="136">
        <v>3000000</v>
      </c>
      <c r="I43" s="333">
        <v>360</v>
      </c>
      <c r="K43" s="335">
        <v>0.8</v>
      </c>
      <c r="L43" s="432">
        <v>0.95</v>
      </c>
      <c r="M43" s="35" t="s">
        <v>330</v>
      </c>
    </row>
    <row r="44" spans="1:13" ht="12.75" customHeight="1" x14ac:dyDescent="0.2">
      <c r="A44" s="41" t="s">
        <v>1473</v>
      </c>
      <c r="B44" s="25" t="s">
        <v>1474</v>
      </c>
      <c r="C44" s="136">
        <v>750000</v>
      </c>
      <c r="D44" s="136">
        <v>1000000</v>
      </c>
      <c r="E44" s="136">
        <v>1500000</v>
      </c>
      <c r="F44" s="136">
        <v>2000000</v>
      </c>
      <c r="G44" s="136">
        <v>2500000</v>
      </c>
      <c r="H44" s="136">
        <v>3000000</v>
      </c>
      <c r="I44" s="333">
        <v>360</v>
      </c>
      <c r="K44" s="335">
        <v>0.8</v>
      </c>
      <c r="L44" s="432">
        <v>0.9</v>
      </c>
      <c r="M44" s="35" t="s">
        <v>330</v>
      </c>
    </row>
    <row r="45" spans="1:13" ht="12.75" customHeight="1" x14ac:dyDescent="0.2">
      <c r="A45" s="41" t="s">
        <v>1475</v>
      </c>
      <c r="B45" s="25" t="s">
        <v>1476</v>
      </c>
      <c r="C45" s="136">
        <v>750000</v>
      </c>
      <c r="D45" s="136">
        <v>1000000</v>
      </c>
      <c r="E45" s="136">
        <v>1500000</v>
      </c>
      <c r="F45" s="136">
        <v>2000000</v>
      </c>
      <c r="G45" s="136">
        <v>2500000</v>
      </c>
      <c r="H45" s="136">
        <v>3000000</v>
      </c>
      <c r="I45" s="333">
        <v>360</v>
      </c>
      <c r="K45" s="335">
        <v>0.8</v>
      </c>
      <c r="L45" s="432">
        <v>0.95</v>
      </c>
      <c r="M45" s="35" t="s">
        <v>330</v>
      </c>
    </row>
    <row r="46" spans="1:13" ht="12.75" customHeight="1" x14ac:dyDescent="0.2">
      <c r="A46" s="41" t="s">
        <v>1477</v>
      </c>
      <c r="B46" s="25" t="s">
        <v>1478</v>
      </c>
      <c r="C46" s="136">
        <v>750000</v>
      </c>
      <c r="D46" s="136">
        <v>1000000</v>
      </c>
      <c r="E46" s="136">
        <v>1500000</v>
      </c>
      <c r="F46" s="136">
        <v>2000000</v>
      </c>
      <c r="G46" s="136">
        <v>2500000</v>
      </c>
      <c r="H46" s="136">
        <v>3000000</v>
      </c>
      <c r="I46" s="333">
        <v>360</v>
      </c>
      <c r="K46" s="335">
        <v>0.8</v>
      </c>
      <c r="L46" s="432">
        <v>0.95</v>
      </c>
      <c r="M46" s="35" t="s">
        <v>330</v>
      </c>
    </row>
    <row r="47" spans="1:13" ht="12.75" customHeight="1" x14ac:dyDescent="0.2">
      <c r="A47" s="41" t="s">
        <v>1479</v>
      </c>
      <c r="B47" s="25" t="s">
        <v>1480</v>
      </c>
      <c r="C47" s="136">
        <v>750000</v>
      </c>
      <c r="D47" s="136">
        <v>1000000</v>
      </c>
      <c r="E47" s="136">
        <v>1500000</v>
      </c>
      <c r="F47" s="136">
        <v>2000000</v>
      </c>
      <c r="G47" s="136">
        <v>2500000</v>
      </c>
      <c r="H47" s="136">
        <v>3000000</v>
      </c>
      <c r="I47" s="333">
        <v>360</v>
      </c>
      <c r="K47" s="335">
        <v>0.8</v>
      </c>
      <c r="L47" s="432">
        <v>0.95</v>
      </c>
      <c r="M47" s="35" t="s">
        <v>330</v>
      </c>
    </row>
    <row r="48" spans="1:13" ht="12.75" customHeight="1" x14ac:dyDescent="0.2">
      <c r="A48" s="41" t="s">
        <v>1481</v>
      </c>
      <c r="B48" s="25" t="s">
        <v>1482</v>
      </c>
      <c r="C48" s="136">
        <v>750000</v>
      </c>
      <c r="D48" s="136">
        <v>1000000</v>
      </c>
      <c r="E48" s="136">
        <v>1500000</v>
      </c>
      <c r="F48" s="136">
        <v>2000000</v>
      </c>
      <c r="G48" s="136">
        <v>2500000</v>
      </c>
      <c r="H48" s="136">
        <v>3000000</v>
      </c>
      <c r="I48" s="333">
        <v>360</v>
      </c>
      <c r="K48" s="335">
        <v>0.8</v>
      </c>
      <c r="L48" s="432">
        <v>0.95</v>
      </c>
      <c r="M48" s="35" t="s">
        <v>330</v>
      </c>
    </row>
    <row r="49" spans="1:13" ht="12.75" customHeight="1" x14ac:dyDescent="0.2">
      <c r="A49" s="41" t="s">
        <v>1483</v>
      </c>
      <c r="B49" s="25" t="s">
        <v>1484</v>
      </c>
      <c r="C49" s="136">
        <v>750000</v>
      </c>
      <c r="D49" s="136">
        <v>1000000</v>
      </c>
      <c r="E49" s="136">
        <v>1500000</v>
      </c>
      <c r="F49" s="136">
        <v>2000000</v>
      </c>
      <c r="G49" s="136">
        <v>2500000</v>
      </c>
      <c r="H49" s="136">
        <v>3000000</v>
      </c>
      <c r="I49" s="333">
        <v>360</v>
      </c>
      <c r="K49" s="335">
        <v>0.8</v>
      </c>
      <c r="M49" s="35" t="s">
        <v>330</v>
      </c>
    </row>
    <row r="50" spans="1:13" ht="12.75" customHeight="1" x14ac:dyDescent="0.2">
      <c r="A50" s="41" t="s">
        <v>1485</v>
      </c>
      <c r="B50" s="25" t="s">
        <v>1486</v>
      </c>
      <c r="C50" s="136">
        <v>750000</v>
      </c>
      <c r="D50" s="136">
        <v>1000000</v>
      </c>
      <c r="E50" s="136">
        <v>1500000</v>
      </c>
      <c r="F50" s="136">
        <v>2000000</v>
      </c>
      <c r="G50" s="136">
        <v>2500000</v>
      </c>
      <c r="H50" s="136">
        <v>3000000</v>
      </c>
      <c r="I50" s="333">
        <v>360</v>
      </c>
      <c r="K50" s="335">
        <v>0.8</v>
      </c>
      <c r="L50" s="432">
        <v>0.9</v>
      </c>
      <c r="M50" s="35" t="s">
        <v>330</v>
      </c>
    </row>
    <row r="51" spans="1:13" ht="12.75" customHeight="1" x14ac:dyDescent="0.2">
      <c r="A51" s="41" t="s">
        <v>1487</v>
      </c>
      <c r="B51" s="25" t="s">
        <v>1488</v>
      </c>
      <c r="C51" s="136">
        <v>750000</v>
      </c>
      <c r="D51" s="136">
        <v>1000000</v>
      </c>
      <c r="E51" s="136">
        <v>1500000</v>
      </c>
      <c r="F51" s="136">
        <v>2000000</v>
      </c>
      <c r="G51" s="136">
        <v>2500000</v>
      </c>
      <c r="H51" s="136">
        <v>3000000</v>
      </c>
      <c r="I51" s="333">
        <v>360</v>
      </c>
      <c r="K51" s="335">
        <v>0.8</v>
      </c>
      <c r="L51" s="432"/>
      <c r="M51" s="35" t="s">
        <v>330</v>
      </c>
    </row>
    <row r="52" spans="1:13" ht="12.75" customHeight="1" x14ac:dyDescent="0.2">
      <c r="A52" s="41" t="s">
        <v>1489</v>
      </c>
      <c r="B52" s="25" t="s">
        <v>1490</v>
      </c>
      <c r="C52" s="136">
        <v>750000</v>
      </c>
      <c r="D52" s="136">
        <v>1000000</v>
      </c>
      <c r="E52" s="136">
        <v>1500000</v>
      </c>
      <c r="F52" s="136">
        <v>2000000</v>
      </c>
      <c r="G52" s="136">
        <v>2500000</v>
      </c>
      <c r="H52" s="136">
        <v>3000000</v>
      </c>
      <c r="I52" s="333">
        <v>360</v>
      </c>
      <c r="K52" s="335">
        <v>0.8</v>
      </c>
      <c r="L52" s="432">
        <v>0.9</v>
      </c>
      <c r="M52" s="35" t="s">
        <v>330</v>
      </c>
    </row>
    <row r="53" spans="1:13" ht="12.75" customHeight="1" x14ac:dyDescent="0.2">
      <c r="A53" s="41" t="s">
        <v>1491</v>
      </c>
      <c r="B53" s="25" t="s">
        <v>1492</v>
      </c>
      <c r="C53" s="136">
        <v>750000</v>
      </c>
      <c r="D53" s="136">
        <v>1000000</v>
      </c>
      <c r="E53" s="136">
        <v>1500000</v>
      </c>
      <c r="F53" s="136">
        <v>2000000</v>
      </c>
      <c r="G53" s="136">
        <v>2500000</v>
      </c>
      <c r="H53" s="136">
        <v>3000000</v>
      </c>
      <c r="I53" s="333">
        <v>360</v>
      </c>
      <c r="K53" s="335">
        <v>0.8</v>
      </c>
      <c r="L53" s="432">
        <v>0.9</v>
      </c>
      <c r="M53" s="35" t="s">
        <v>330</v>
      </c>
    </row>
    <row r="54" spans="1:13" ht="12.75" customHeight="1" x14ac:dyDescent="0.2">
      <c r="A54" s="41" t="s">
        <v>1493</v>
      </c>
      <c r="B54" s="25" t="s">
        <v>1494</v>
      </c>
      <c r="C54" s="136">
        <v>750000</v>
      </c>
      <c r="D54" s="136">
        <v>1000000</v>
      </c>
      <c r="E54" s="136">
        <v>1500000</v>
      </c>
      <c r="F54" s="136">
        <v>2000000</v>
      </c>
      <c r="G54" s="136">
        <v>2500000</v>
      </c>
      <c r="H54" s="136">
        <v>3000000</v>
      </c>
      <c r="I54" s="333">
        <v>360</v>
      </c>
      <c r="K54" s="335">
        <v>0.8</v>
      </c>
      <c r="L54" s="432">
        <v>0.9</v>
      </c>
      <c r="M54" s="35" t="s">
        <v>330</v>
      </c>
    </row>
    <row r="55" spans="1:13" ht="12.75" customHeight="1" x14ac:dyDescent="0.2">
      <c r="A55" s="41" t="s">
        <v>1495</v>
      </c>
      <c r="B55" s="25" t="s">
        <v>1496</v>
      </c>
      <c r="C55" s="136">
        <v>750000</v>
      </c>
      <c r="D55" s="136">
        <v>1000000</v>
      </c>
      <c r="E55" s="136">
        <v>1500000</v>
      </c>
      <c r="F55" s="136">
        <v>2000000</v>
      </c>
      <c r="G55" s="136">
        <v>2500000</v>
      </c>
      <c r="H55" s="136">
        <v>3000000</v>
      </c>
      <c r="I55" s="333">
        <v>360</v>
      </c>
      <c r="K55" s="335">
        <v>0.8</v>
      </c>
      <c r="L55" s="432">
        <v>0.9</v>
      </c>
      <c r="M55" s="35" t="s">
        <v>330</v>
      </c>
    </row>
    <row r="56" spans="1:13" ht="12.75" customHeight="1" x14ac:dyDescent="0.2">
      <c r="A56" s="41" t="s">
        <v>1497</v>
      </c>
      <c r="B56" s="25" t="s">
        <v>1498</v>
      </c>
      <c r="C56" s="136">
        <v>750000</v>
      </c>
      <c r="D56" s="136">
        <v>1000000</v>
      </c>
      <c r="E56" s="136">
        <v>1500000</v>
      </c>
      <c r="F56" s="136">
        <v>2000000</v>
      </c>
      <c r="G56" s="136">
        <v>2500000</v>
      </c>
      <c r="H56" s="136">
        <v>3000000</v>
      </c>
      <c r="I56" s="333">
        <v>360</v>
      </c>
      <c r="K56" s="335">
        <v>0.8</v>
      </c>
      <c r="L56" s="432">
        <v>0.9</v>
      </c>
      <c r="M56" s="35" t="s">
        <v>330</v>
      </c>
    </row>
    <row r="57" spans="1:13" ht="12.75" customHeight="1" x14ac:dyDescent="0.2">
      <c r="A57" s="41" t="s">
        <v>1499</v>
      </c>
      <c r="B57" s="25" t="s">
        <v>1500</v>
      </c>
      <c r="C57" s="136">
        <v>750000</v>
      </c>
      <c r="D57" s="136">
        <v>1000000</v>
      </c>
      <c r="E57" s="136">
        <v>1500000</v>
      </c>
      <c r="F57" s="136">
        <v>2000000</v>
      </c>
      <c r="G57" s="136">
        <v>2500000</v>
      </c>
      <c r="H57" s="136">
        <v>3000000</v>
      </c>
      <c r="I57" s="333">
        <v>360</v>
      </c>
      <c r="K57" s="335">
        <v>0.8</v>
      </c>
      <c r="L57" s="432">
        <v>0.9</v>
      </c>
      <c r="M57" s="35" t="s">
        <v>330</v>
      </c>
    </row>
    <row r="58" spans="1:13" ht="12.75" customHeight="1" x14ac:dyDescent="0.2">
      <c r="A58" s="41" t="s">
        <v>1501</v>
      </c>
      <c r="B58" s="25" t="s">
        <v>1502</v>
      </c>
      <c r="C58" s="136">
        <v>750000</v>
      </c>
      <c r="D58" s="136">
        <v>1000000</v>
      </c>
      <c r="E58" s="136">
        <v>1500000</v>
      </c>
      <c r="F58" s="136">
        <v>2000000</v>
      </c>
      <c r="G58" s="136">
        <v>2500000</v>
      </c>
      <c r="H58" s="136">
        <v>3000000</v>
      </c>
      <c r="I58" s="333">
        <v>360</v>
      </c>
      <c r="K58" s="335">
        <v>0.8</v>
      </c>
      <c r="L58" s="432">
        <v>0.9</v>
      </c>
      <c r="M58" s="35" t="s">
        <v>330</v>
      </c>
    </row>
    <row r="59" spans="1:13" ht="12.75" customHeight="1" x14ac:dyDescent="0.2">
      <c r="A59" s="41" t="s">
        <v>1503</v>
      </c>
      <c r="B59" s="25" t="s">
        <v>1504</v>
      </c>
      <c r="C59" s="136">
        <v>750000</v>
      </c>
      <c r="D59" s="136">
        <v>1000000</v>
      </c>
      <c r="E59" s="136">
        <v>1500000</v>
      </c>
      <c r="F59" s="136">
        <v>2000000</v>
      </c>
      <c r="G59" s="136">
        <v>2500000</v>
      </c>
      <c r="H59" s="136">
        <v>3000000</v>
      </c>
      <c r="I59" s="333">
        <v>360</v>
      </c>
      <c r="K59" s="335">
        <v>0.8</v>
      </c>
      <c r="L59" s="432">
        <v>0.9</v>
      </c>
      <c r="M59" s="35" t="s">
        <v>330</v>
      </c>
    </row>
    <row r="60" spans="1:13" ht="12.75" customHeight="1" x14ac:dyDescent="0.2">
      <c r="A60" s="41" t="s">
        <v>1505</v>
      </c>
      <c r="B60" s="25" t="s">
        <v>1506</v>
      </c>
      <c r="C60" s="136">
        <v>750000</v>
      </c>
      <c r="D60" s="136">
        <v>1000000</v>
      </c>
      <c r="E60" s="136">
        <v>1500000</v>
      </c>
      <c r="F60" s="136">
        <v>2000000</v>
      </c>
      <c r="G60" s="136">
        <v>2500000</v>
      </c>
      <c r="H60" s="136">
        <v>3000000</v>
      </c>
      <c r="I60" s="333">
        <v>360</v>
      </c>
      <c r="K60" s="335">
        <v>0.8</v>
      </c>
      <c r="L60" s="432">
        <v>0.9</v>
      </c>
      <c r="M60" s="35" t="s">
        <v>330</v>
      </c>
    </row>
    <row r="61" spans="1:13" ht="12.75" customHeight="1" x14ac:dyDescent="0.2">
      <c r="A61" s="41" t="s">
        <v>1507</v>
      </c>
      <c r="B61" s="25" t="s">
        <v>1508</v>
      </c>
      <c r="C61" s="136">
        <v>750000</v>
      </c>
      <c r="D61" s="136">
        <v>1000000</v>
      </c>
      <c r="E61" s="136">
        <v>1500000</v>
      </c>
      <c r="F61" s="136">
        <v>2000000</v>
      </c>
      <c r="G61" s="136">
        <v>2500000</v>
      </c>
      <c r="H61" s="136">
        <v>3000000</v>
      </c>
      <c r="I61" s="333">
        <v>360</v>
      </c>
      <c r="K61" s="335">
        <v>0.8</v>
      </c>
      <c r="L61" s="432">
        <v>0.9</v>
      </c>
      <c r="M61" s="35" t="s">
        <v>330</v>
      </c>
    </row>
    <row r="62" spans="1:13" ht="12.75" customHeight="1" x14ac:dyDescent="0.2">
      <c r="A62" s="41" t="s">
        <v>1509</v>
      </c>
      <c r="B62" s="25" t="s">
        <v>1510</v>
      </c>
      <c r="C62" s="136">
        <v>750000</v>
      </c>
      <c r="D62" s="136">
        <v>1000000</v>
      </c>
      <c r="E62" s="136">
        <v>1500000</v>
      </c>
      <c r="F62" s="136">
        <v>2000000</v>
      </c>
      <c r="G62" s="136">
        <v>2500000</v>
      </c>
      <c r="H62" s="136">
        <v>3000000</v>
      </c>
      <c r="I62" s="333">
        <v>360</v>
      </c>
      <c r="K62" s="335">
        <v>0.8</v>
      </c>
      <c r="M62" s="35" t="s">
        <v>330</v>
      </c>
    </row>
    <row r="63" spans="1:13" ht="12.75" customHeight="1" x14ac:dyDescent="0.2">
      <c r="A63" s="41" t="s">
        <v>1511</v>
      </c>
      <c r="B63" s="25" t="s">
        <v>1512</v>
      </c>
      <c r="C63" s="136">
        <v>750000</v>
      </c>
      <c r="D63" s="136">
        <v>1000000</v>
      </c>
      <c r="E63" s="136">
        <v>1500000</v>
      </c>
      <c r="F63" s="136">
        <v>2000000</v>
      </c>
      <c r="G63" s="136">
        <v>2500000</v>
      </c>
      <c r="H63" s="136">
        <v>3000000</v>
      </c>
      <c r="I63" s="333">
        <v>360</v>
      </c>
      <c r="K63" s="335">
        <v>0.8</v>
      </c>
      <c r="L63" s="432">
        <v>0.9</v>
      </c>
      <c r="M63" s="35" t="s">
        <v>330</v>
      </c>
    </row>
    <row r="64" spans="1:13" ht="12.75" customHeight="1" x14ac:dyDescent="0.2">
      <c r="A64" s="41" t="s">
        <v>1513</v>
      </c>
      <c r="B64" s="25" t="s">
        <v>1514</v>
      </c>
      <c r="C64" s="136">
        <v>750000</v>
      </c>
      <c r="D64" s="136">
        <v>1000000</v>
      </c>
      <c r="E64" s="136">
        <v>1500000</v>
      </c>
      <c r="F64" s="136">
        <v>2000000</v>
      </c>
      <c r="G64" s="136">
        <v>2500000</v>
      </c>
      <c r="H64" s="136">
        <v>3000000</v>
      </c>
      <c r="I64" s="333">
        <v>360</v>
      </c>
      <c r="K64" s="335">
        <v>0.8</v>
      </c>
      <c r="L64" s="432">
        <v>0.95</v>
      </c>
      <c r="M64" s="35" t="s">
        <v>330</v>
      </c>
    </row>
    <row r="65" spans="1:13" ht="12.75" customHeight="1" x14ac:dyDescent="0.2">
      <c r="A65" s="41" t="s">
        <v>1515</v>
      </c>
      <c r="B65" s="25" t="s">
        <v>1516</v>
      </c>
      <c r="C65" s="136">
        <v>750000</v>
      </c>
      <c r="D65" s="136">
        <v>1000000</v>
      </c>
      <c r="E65" s="136">
        <v>1500000</v>
      </c>
      <c r="F65" s="136">
        <v>2000000</v>
      </c>
      <c r="G65" s="136">
        <v>2500000</v>
      </c>
      <c r="H65" s="136">
        <v>3000000</v>
      </c>
      <c r="I65" s="333">
        <v>360</v>
      </c>
      <c r="K65" s="335">
        <v>0.8</v>
      </c>
      <c r="M65" s="35" t="s">
        <v>330</v>
      </c>
    </row>
    <row r="66" spans="1:13" ht="12.75" customHeight="1" x14ac:dyDescent="0.2">
      <c r="A66" s="41" t="s">
        <v>1517</v>
      </c>
      <c r="B66" s="25" t="s">
        <v>1518</v>
      </c>
      <c r="C66" s="136">
        <v>750000</v>
      </c>
      <c r="D66" s="136">
        <v>1000000</v>
      </c>
      <c r="E66" s="136">
        <v>1500000</v>
      </c>
      <c r="F66" s="136">
        <v>2000000</v>
      </c>
      <c r="G66" s="136">
        <v>2500000</v>
      </c>
      <c r="H66" s="136">
        <v>3000000</v>
      </c>
      <c r="I66" s="333">
        <v>360</v>
      </c>
      <c r="K66" s="335">
        <v>0.8</v>
      </c>
      <c r="L66" s="432">
        <v>0.9</v>
      </c>
      <c r="M66" s="35" t="s">
        <v>330</v>
      </c>
    </row>
    <row r="67" spans="1:13" ht="12.75" customHeight="1" x14ac:dyDescent="0.2">
      <c r="A67" s="41" t="s">
        <v>1519</v>
      </c>
      <c r="B67" s="25" t="s">
        <v>1520</v>
      </c>
      <c r="C67" s="136">
        <v>750000</v>
      </c>
      <c r="D67" s="136">
        <v>1000000</v>
      </c>
      <c r="E67" s="136">
        <v>1500000</v>
      </c>
      <c r="F67" s="136">
        <v>2000000</v>
      </c>
      <c r="G67" s="136">
        <v>2500000</v>
      </c>
      <c r="H67" s="136">
        <v>3000000</v>
      </c>
      <c r="I67" s="333">
        <v>360</v>
      </c>
      <c r="K67" s="335">
        <v>0.8</v>
      </c>
      <c r="L67" s="432">
        <v>0.95</v>
      </c>
      <c r="M67" s="35" t="s">
        <v>330</v>
      </c>
    </row>
    <row r="68" spans="1:13" ht="12.75" customHeight="1" x14ac:dyDescent="0.2">
      <c r="A68" s="41" t="s">
        <v>1521</v>
      </c>
      <c r="B68" s="25" t="s">
        <v>1522</v>
      </c>
      <c r="C68" s="136">
        <v>750000</v>
      </c>
      <c r="D68" s="136">
        <v>1000000</v>
      </c>
      <c r="E68" s="136">
        <v>1500000</v>
      </c>
      <c r="F68" s="136">
        <v>2000000</v>
      </c>
      <c r="G68" s="136">
        <v>2500000</v>
      </c>
      <c r="H68" s="136">
        <v>3000000</v>
      </c>
      <c r="I68" s="333">
        <v>360</v>
      </c>
      <c r="K68" s="335">
        <v>0.8</v>
      </c>
      <c r="L68" s="432">
        <v>0.95</v>
      </c>
      <c r="M68" s="35" t="s">
        <v>330</v>
      </c>
    </row>
    <row r="69" spans="1:13" ht="12.75" customHeight="1" x14ac:dyDescent="0.2">
      <c r="A69" s="41" t="s">
        <v>1523</v>
      </c>
      <c r="B69" s="25" t="s">
        <v>1524</v>
      </c>
      <c r="C69" s="136">
        <v>750000</v>
      </c>
      <c r="D69" s="136">
        <v>1000000</v>
      </c>
      <c r="E69" s="136">
        <v>1500000</v>
      </c>
      <c r="F69" s="136">
        <v>2000000</v>
      </c>
      <c r="G69" s="136">
        <v>2500000</v>
      </c>
      <c r="H69" s="136">
        <v>3000000</v>
      </c>
      <c r="I69" s="333">
        <v>360</v>
      </c>
      <c r="K69" s="335">
        <v>0.8</v>
      </c>
      <c r="L69" s="432">
        <v>0.95</v>
      </c>
      <c r="M69" s="35" t="s">
        <v>330</v>
      </c>
    </row>
    <row r="70" spans="1:13" ht="12.75" customHeight="1" x14ac:dyDescent="0.2">
      <c r="A70" s="41" t="s">
        <v>1525</v>
      </c>
      <c r="B70" s="25" t="s">
        <v>1526</v>
      </c>
      <c r="C70" s="136">
        <v>750000</v>
      </c>
      <c r="D70" s="136">
        <v>1000000</v>
      </c>
      <c r="E70" s="136">
        <v>1500000</v>
      </c>
      <c r="F70" s="136">
        <v>2000000</v>
      </c>
      <c r="G70" s="136">
        <v>2500000</v>
      </c>
      <c r="H70" s="136">
        <v>3000000</v>
      </c>
      <c r="I70" s="333">
        <v>360</v>
      </c>
      <c r="K70" s="335">
        <v>0.8</v>
      </c>
      <c r="L70" s="432">
        <v>0.95</v>
      </c>
      <c r="M70" s="35" t="s">
        <v>330</v>
      </c>
    </row>
    <row r="71" spans="1:13" ht="12.75" customHeight="1" x14ac:dyDescent="0.2">
      <c r="A71" s="41" t="s">
        <v>1527</v>
      </c>
      <c r="B71" s="25" t="s">
        <v>1528</v>
      </c>
      <c r="C71" s="136">
        <v>750000</v>
      </c>
      <c r="D71" s="136">
        <v>1000000</v>
      </c>
      <c r="E71" s="136">
        <v>1500000</v>
      </c>
      <c r="F71" s="136">
        <v>2000000</v>
      </c>
      <c r="G71" s="136">
        <v>2500000</v>
      </c>
      <c r="H71" s="136">
        <v>3000000</v>
      </c>
      <c r="I71" s="333">
        <v>360</v>
      </c>
      <c r="K71" s="335">
        <v>0.8</v>
      </c>
      <c r="L71" s="432">
        <v>0.95</v>
      </c>
      <c r="M71" s="35" t="s">
        <v>330</v>
      </c>
    </row>
    <row r="72" spans="1:13" ht="12.75" customHeight="1" x14ac:dyDescent="0.2">
      <c r="A72" s="41" t="s">
        <v>1529</v>
      </c>
      <c r="B72" s="25" t="s">
        <v>1530</v>
      </c>
      <c r="C72" s="136">
        <v>750000</v>
      </c>
      <c r="D72" s="136">
        <v>1000000</v>
      </c>
      <c r="E72" s="136">
        <v>1500000</v>
      </c>
      <c r="F72" s="136">
        <v>2000000</v>
      </c>
      <c r="G72" s="136">
        <v>2500000</v>
      </c>
      <c r="H72" s="136">
        <v>3000000</v>
      </c>
      <c r="I72" s="333">
        <v>360</v>
      </c>
      <c r="K72" s="335">
        <v>0.8</v>
      </c>
      <c r="L72" s="432">
        <v>0.95</v>
      </c>
      <c r="M72" s="35" t="s">
        <v>330</v>
      </c>
    </row>
    <row r="73" spans="1:13" ht="12.75" customHeight="1" x14ac:dyDescent="0.2">
      <c r="A73" s="41" t="s">
        <v>1531</v>
      </c>
      <c r="B73" s="25" t="s">
        <v>1532</v>
      </c>
      <c r="C73" s="136">
        <v>750000</v>
      </c>
      <c r="D73" s="136">
        <v>1000000</v>
      </c>
      <c r="E73" s="136">
        <v>1500000</v>
      </c>
      <c r="F73" s="136">
        <v>2000000</v>
      </c>
      <c r="G73" s="136">
        <v>2500000</v>
      </c>
      <c r="H73" s="136">
        <v>3000000</v>
      </c>
      <c r="I73" s="333">
        <v>360</v>
      </c>
      <c r="K73" s="335">
        <v>0.8</v>
      </c>
      <c r="M73" s="35" t="s">
        <v>330</v>
      </c>
    </row>
    <row r="74" spans="1:13" ht="12.75" customHeight="1" x14ac:dyDescent="0.2">
      <c r="A74" s="41" t="s">
        <v>1533</v>
      </c>
      <c r="B74" s="25" t="s">
        <v>1534</v>
      </c>
      <c r="C74" s="136">
        <v>750000</v>
      </c>
      <c r="D74" s="136">
        <v>1000000</v>
      </c>
      <c r="E74" s="136">
        <v>1500000</v>
      </c>
      <c r="F74" s="136">
        <v>2000000</v>
      </c>
      <c r="G74" s="136">
        <v>2500000</v>
      </c>
      <c r="H74" s="136">
        <v>3000000</v>
      </c>
      <c r="I74" s="333">
        <v>360</v>
      </c>
      <c r="K74" s="335">
        <v>0.8</v>
      </c>
      <c r="L74" s="432">
        <v>0.9</v>
      </c>
      <c r="M74" s="35" t="s">
        <v>330</v>
      </c>
    </row>
    <row r="75" spans="1:13" ht="12.75" customHeight="1" x14ac:dyDescent="0.2">
      <c r="A75" s="41" t="s">
        <v>1535</v>
      </c>
      <c r="B75" s="25" t="s">
        <v>1536</v>
      </c>
      <c r="C75" s="136">
        <v>750000</v>
      </c>
      <c r="D75" s="136">
        <v>1000000</v>
      </c>
      <c r="E75" s="136">
        <v>1500000</v>
      </c>
      <c r="F75" s="136">
        <v>2000000</v>
      </c>
      <c r="G75" s="136">
        <v>2500000</v>
      </c>
      <c r="H75" s="136">
        <v>3000000</v>
      </c>
      <c r="I75" s="333">
        <v>360</v>
      </c>
      <c r="K75" s="335">
        <v>0.8</v>
      </c>
      <c r="M75" s="35" t="s">
        <v>330</v>
      </c>
    </row>
    <row r="76" spans="1:13" ht="12.75" customHeight="1" x14ac:dyDescent="0.2">
      <c r="A76" s="41" t="s">
        <v>1537</v>
      </c>
      <c r="B76" s="25" t="s">
        <v>1538</v>
      </c>
      <c r="C76" s="136">
        <v>750000</v>
      </c>
      <c r="D76" s="136">
        <v>1000000</v>
      </c>
      <c r="E76" s="136">
        <v>1500000</v>
      </c>
      <c r="F76" s="136">
        <v>2000000</v>
      </c>
      <c r="G76" s="136">
        <v>2500000</v>
      </c>
      <c r="H76" s="136">
        <v>3000000</v>
      </c>
      <c r="I76" s="333">
        <v>360</v>
      </c>
      <c r="K76" s="335">
        <v>0.8</v>
      </c>
      <c r="L76" s="432">
        <v>0.9</v>
      </c>
      <c r="M76" s="35" t="s">
        <v>330</v>
      </c>
    </row>
    <row r="77" spans="1:13" ht="12.75" customHeight="1" x14ac:dyDescent="0.2">
      <c r="A77" s="41" t="s">
        <v>1539</v>
      </c>
      <c r="B77" s="25" t="s">
        <v>1540</v>
      </c>
      <c r="C77" s="136">
        <v>750000</v>
      </c>
      <c r="D77" s="136">
        <v>1000000</v>
      </c>
      <c r="E77" s="136">
        <v>1500000</v>
      </c>
      <c r="F77" s="136">
        <v>2000000</v>
      </c>
      <c r="G77" s="136">
        <v>2500000</v>
      </c>
      <c r="H77" s="136">
        <v>3000000</v>
      </c>
      <c r="I77" s="333">
        <v>360</v>
      </c>
      <c r="K77" s="335">
        <v>0.8</v>
      </c>
      <c r="L77" s="432">
        <v>0.9</v>
      </c>
      <c r="M77" s="35" t="s">
        <v>330</v>
      </c>
    </row>
    <row r="78" spans="1:13" ht="12.75" customHeight="1" x14ac:dyDescent="0.2">
      <c r="A78" s="41" t="s">
        <v>1541</v>
      </c>
      <c r="B78" s="25" t="s">
        <v>1542</v>
      </c>
      <c r="C78" s="136">
        <v>750000</v>
      </c>
      <c r="D78" s="136">
        <v>1000000</v>
      </c>
      <c r="E78" s="136">
        <v>1500000</v>
      </c>
      <c r="F78" s="136">
        <v>2000000</v>
      </c>
      <c r="G78" s="136">
        <v>2500000</v>
      </c>
      <c r="H78" s="136">
        <v>3000000</v>
      </c>
      <c r="I78" s="333">
        <v>360</v>
      </c>
      <c r="K78" s="335">
        <v>0.8</v>
      </c>
      <c r="L78" s="432">
        <v>0.9</v>
      </c>
      <c r="M78" s="35" t="s">
        <v>330</v>
      </c>
    </row>
    <row r="79" spans="1:13" ht="12.75" customHeight="1" x14ac:dyDescent="0.2">
      <c r="A79" s="41" t="s">
        <v>1543</v>
      </c>
      <c r="B79" s="25" t="s">
        <v>1544</v>
      </c>
      <c r="C79" s="136">
        <v>750000</v>
      </c>
      <c r="D79" s="136">
        <v>1000000</v>
      </c>
      <c r="E79" s="136">
        <v>1500000</v>
      </c>
      <c r="F79" s="136">
        <v>2000000</v>
      </c>
      <c r="G79" s="136">
        <v>2500000</v>
      </c>
      <c r="H79" s="136">
        <v>3000000</v>
      </c>
      <c r="I79" s="333">
        <v>360</v>
      </c>
      <c r="K79" s="335">
        <v>0.8</v>
      </c>
      <c r="L79" s="432">
        <v>0.9</v>
      </c>
      <c r="M79" s="35" t="s">
        <v>330</v>
      </c>
    </row>
    <row r="80" spans="1:13" ht="12.75" customHeight="1" x14ac:dyDescent="0.2">
      <c r="A80" s="41" t="s">
        <v>1545</v>
      </c>
      <c r="B80" s="25" t="s">
        <v>1546</v>
      </c>
      <c r="C80" s="136">
        <v>750000</v>
      </c>
      <c r="D80" s="136">
        <v>1000000</v>
      </c>
      <c r="E80" s="136">
        <v>1500000</v>
      </c>
      <c r="F80" s="136">
        <v>2000000</v>
      </c>
      <c r="G80" s="136">
        <v>2500000</v>
      </c>
      <c r="H80" s="136">
        <v>3000000</v>
      </c>
      <c r="I80" s="333">
        <v>360</v>
      </c>
      <c r="K80" s="335">
        <v>0.8</v>
      </c>
      <c r="L80" s="432">
        <v>0.9</v>
      </c>
      <c r="M80" s="35" t="s">
        <v>330</v>
      </c>
    </row>
    <row r="81" spans="1:13" ht="12.75" customHeight="1" x14ac:dyDescent="0.2">
      <c r="A81" s="41" t="s">
        <v>1547</v>
      </c>
      <c r="B81" s="25" t="s">
        <v>1548</v>
      </c>
      <c r="C81" s="136">
        <v>750000</v>
      </c>
      <c r="D81" s="136">
        <v>1000000</v>
      </c>
      <c r="E81" s="136">
        <v>1500000</v>
      </c>
      <c r="F81" s="136">
        <v>2000000</v>
      </c>
      <c r="G81" s="136">
        <v>2500000</v>
      </c>
      <c r="H81" s="136">
        <v>3000000</v>
      </c>
      <c r="I81" s="333">
        <v>360</v>
      </c>
      <c r="K81" s="335">
        <v>0.8</v>
      </c>
      <c r="L81" s="432">
        <v>0.9</v>
      </c>
      <c r="M81" s="35" t="s">
        <v>330</v>
      </c>
    </row>
    <row r="82" spans="1:13" ht="12.75" customHeight="1" x14ac:dyDescent="0.2">
      <c r="A82" s="41" t="s">
        <v>1549</v>
      </c>
      <c r="B82" s="25" t="s">
        <v>1550</v>
      </c>
      <c r="C82" s="136">
        <v>750000</v>
      </c>
      <c r="D82" s="136">
        <v>1000000</v>
      </c>
      <c r="E82" s="136">
        <v>1500000</v>
      </c>
      <c r="F82" s="136">
        <v>2000000</v>
      </c>
      <c r="G82" s="136">
        <v>2500000</v>
      </c>
      <c r="H82" s="136">
        <v>3000000</v>
      </c>
      <c r="I82" s="333">
        <v>360</v>
      </c>
      <c r="K82" s="335">
        <v>0.8</v>
      </c>
      <c r="L82" s="432">
        <v>0.9</v>
      </c>
      <c r="M82" s="35" t="s">
        <v>330</v>
      </c>
    </row>
    <row r="83" spans="1:13" ht="12.75" customHeight="1" x14ac:dyDescent="0.2">
      <c r="A83" s="41" t="s">
        <v>1551</v>
      </c>
      <c r="B83" s="25" t="s">
        <v>1552</v>
      </c>
      <c r="C83" s="136">
        <v>750000</v>
      </c>
      <c r="D83" s="136">
        <v>1000000</v>
      </c>
      <c r="E83" s="136">
        <v>1500000</v>
      </c>
      <c r="F83" s="136">
        <v>2000000</v>
      </c>
      <c r="G83" s="136">
        <v>2500000</v>
      </c>
      <c r="H83" s="136">
        <v>3000000</v>
      </c>
      <c r="I83" s="333">
        <v>360</v>
      </c>
      <c r="K83" s="335">
        <v>0.8</v>
      </c>
      <c r="L83" s="432">
        <v>0.9</v>
      </c>
      <c r="M83" s="35" t="s">
        <v>330</v>
      </c>
    </row>
    <row r="84" spans="1:13" ht="12.75" customHeight="1" x14ac:dyDescent="0.2">
      <c r="A84" s="41" t="s">
        <v>1553</v>
      </c>
      <c r="B84" s="25" t="s">
        <v>1554</v>
      </c>
      <c r="C84" s="136">
        <v>750000</v>
      </c>
      <c r="D84" s="136">
        <v>1000000</v>
      </c>
      <c r="E84" s="136">
        <v>1500000</v>
      </c>
      <c r="F84" s="136">
        <v>2000000</v>
      </c>
      <c r="G84" s="136">
        <v>2500000</v>
      </c>
      <c r="H84" s="136">
        <v>3000000</v>
      </c>
      <c r="I84" s="333">
        <v>360</v>
      </c>
      <c r="K84" s="335">
        <v>0.8</v>
      </c>
      <c r="L84" s="432">
        <v>0.9</v>
      </c>
      <c r="M84" s="35" t="s">
        <v>330</v>
      </c>
    </row>
    <row r="85" spans="1:13" ht="12.75" customHeight="1" x14ac:dyDescent="0.2">
      <c r="A85" s="41" t="s">
        <v>1555</v>
      </c>
      <c r="B85" s="25" t="s">
        <v>1556</v>
      </c>
      <c r="C85" s="136">
        <v>750000</v>
      </c>
      <c r="D85" s="136">
        <v>1000000</v>
      </c>
      <c r="E85" s="136">
        <v>1500000</v>
      </c>
      <c r="F85" s="136">
        <v>2000000</v>
      </c>
      <c r="G85" s="136">
        <v>2500000</v>
      </c>
      <c r="H85" s="136">
        <v>3000000</v>
      </c>
      <c r="I85" s="333">
        <v>360</v>
      </c>
      <c r="K85" s="335">
        <v>0.8</v>
      </c>
      <c r="L85" s="432">
        <v>0.9</v>
      </c>
      <c r="M85" s="35" t="s">
        <v>330</v>
      </c>
    </row>
    <row r="86" spans="1:13" ht="12.75" customHeight="1" x14ac:dyDescent="0.2">
      <c r="A86" s="41" t="s">
        <v>1557</v>
      </c>
      <c r="B86" s="25" t="s">
        <v>1558</v>
      </c>
      <c r="C86" s="136">
        <v>750000</v>
      </c>
      <c r="D86" s="136">
        <v>1000000</v>
      </c>
      <c r="E86" s="136">
        <v>1500000</v>
      </c>
      <c r="F86" s="136">
        <v>2000000</v>
      </c>
      <c r="G86" s="136">
        <v>2500000</v>
      </c>
      <c r="H86" s="136">
        <v>3000000</v>
      </c>
      <c r="I86" s="333">
        <v>360</v>
      </c>
      <c r="K86" s="335">
        <v>0.8</v>
      </c>
      <c r="M86" s="35" t="s">
        <v>330</v>
      </c>
    </row>
    <row r="87" spans="1:13" ht="12.75" customHeight="1" x14ac:dyDescent="0.2">
      <c r="A87" s="41" t="s">
        <v>1559</v>
      </c>
      <c r="B87" s="25" t="s">
        <v>1560</v>
      </c>
      <c r="C87" s="136">
        <v>750000</v>
      </c>
      <c r="D87" s="136">
        <v>1000000</v>
      </c>
      <c r="E87" s="136">
        <v>1500000</v>
      </c>
      <c r="F87" s="136">
        <v>2000000</v>
      </c>
      <c r="G87" s="136">
        <v>2500000</v>
      </c>
      <c r="H87" s="136">
        <v>3000000</v>
      </c>
      <c r="I87" s="333">
        <v>360</v>
      </c>
      <c r="K87" s="335">
        <v>0.8</v>
      </c>
      <c r="L87" s="432">
        <v>0.9</v>
      </c>
      <c r="M87" s="35" t="s">
        <v>330</v>
      </c>
    </row>
    <row r="88" spans="1:13" ht="12.75" customHeight="1" x14ac:dyDescent="0.2">
      <c r="A88" s="41" t="s">
        <v>1561</v>
      </c>
      <c r="B88" s="25" t="s">
        <v>1562</v>
      </c>
      <c r="C88" s="136">
        <v>750000</v>
      </c>
      <c r="D88" s="136">
        <v>1000000</v>
      </c>
      <c r="E88" s="136">
        <v>1500000</v>
      </c>
      <c r="F88" s="136">
        <v>2000000</v>
      </c>
      <c r="G88" s="136">
        <v>2500000</v>
      </c>
      <c r="H88" s="136">
        <v>3000000</v>
      </c>
      <c r="I88" s="333">
        <v>360</v>
      </c>
      <c r="K88" s="335">
        <v>0.8</v>
      </c>
      <c r="L88" s="432">
        <v>0.95</v>
      </c>
      <c r="M88" s="35" t="s">
        <v>330</v>
      </c>
    </row>
    <row r="89" spans="1:13" ht="12.75" customHeight="1" x14ac:dyDescent="0.2">
      <c r="A89" s="41" t="s">
        <v>1563</v>
      </c>
      <c r="B89" s="25" t="s">
        <v>1564</v>
      </c>
      <c r="C89" s="136">
        <v>750000</v>
      </c>
      <c r="D89" s="136">
        <v>1000000</v>
      </c>
      <c r="E89" s="136">
        <v>1500000</v>
      </c>
      <c r="F89" s="136">
        <v>2000000</v>
      </c>
      <c r="G89" s="136">
        <v>2500000</v>
      </c>
      <c r="H89" s="136">
        <v>3000000</v>
      </c>
      <c r="I89" s="333">
        <v>360</v>
      </c>
      <c r="K89" s="335">
        <v>0.8</v>
      </c>
      <c r="M89" s="35" t="s">
        <v>330</v>
      </c>
    </row>
    <row r="90" spans="1:13" ht="12.75" customHeight="1" x14ac:dyDescent="0.2">
      <c r="A90" s="41" t="s">
        <v>1565</v>
      </c>
      <c r="B90" s="25" t="s">
        <v>1566</v>
      </c>
      <c r="C90" s="136">
        <v>750000</v>
      </c>
      <c r="D90" s="136">
        <v>1000000</v>
      </c>
      <c r="E90" s="136">
        <v>1500000</v>
      </c>
      <c r="F90" s="136">
        <v>2000000</v>
      </c>
      <c r="G90" s="136">
        <v>2500000</v>
      </c>
      <c r="H90" s="136">
        <v>3000000</v>
      </c>
      <c r="I90" s="333">
        <v>360</v>
      </c>
      <c r="K90" s="335">
        <v>0.8</v>
      </c>
      <c r="L90" s="432">
        <v>0.9</v>
      </c>
      <c r="M90" s="35" t="s">
        <v>330</v>
      </c>
    </row>
    <row r="91" spans="1:13" ht="12.75" customHeight="1" x14ac:dyDescent="0.2">
      <c r="A91" s="41" t="s">
        <v>1567</v>
      </c>
      <c r="B91" s="25" t="s">
        <v>1568</v>
      </c>
      <c r="C91" s="136">
        <v>750000</v>
      </c>
      <c r="D91" s="136">
        <v>1000000</v>
      </c>
      <c r="E91" s="136">
        <v>1500000</v>
      </c>
      <c r="F91" s="136">
        <v>2000000</v>
      </c>
      <c r="G91" s="136">
        <v>2500000</v>
      </c>
      <c r="H91" s="136">
        <v>3000000</v>
      </c>
      <c r="I91" s="333">
        <v>360</v>
      </c>
      <c r="K91" s="335">
        <v>0.8</v>
      </c>
      <c r="L91" s="432">
        <v>0.95</v>
      </c>
      <c r="M91" s="35" t="s">
        <v>330</v>
      </c>
    </row>
    <row r="92" spans="1:13" ht="12.75" customHeight="1" x14ac:dyDescent="0.2">
      <c r="A92" s="41" t="s">
        <v>1569</v>
      </c>
      <c r="B92" s="25" t="s">
        <v>1570</v>
      </c>
      <c r="C92" s="136">
        <v>750000</v>
      </c>
      <c r="D92" s="136">
        <v>1000000</v>
      </c>
      <c r="E92" s="136">
        <v>1500000</v>
      </c>
      <c r="F92" s="136">
        <v>2000000</v>
      </c>
      <c r="G92" s="136">
        <v>2500000</v>
      </c>
      <c r="H92" s="136">
        <v>3000000</v>
      </c>
      <c r="I92" s="333">
        <v>360</v>
      </c>
      <c r="K92" s="335">
        <v>0.8</v>
      </c>
      <c r="L92" s="432">
        <v>0.95</v>
      </c>
      <c r="M92" s="35" t="s">
        <v>330</v>
      </c>
    </row>
    <row r="93" spans="1:13" ht="12.75" customHeight="1" x14ac:dyDescent="0.2">
      <c r="A93" s="41" t="s">
        <v>1571</v>
      </c>
      <c r="B93" s="25" t="s">
        <v>1572</v>
      </c>
      <c r="C93" s="136">
        <v>750000</v>
      </c>
      <c r="D93" s="136">
        <v>1000000</v>
      </c>
      <c r="E93" s="136">
        <v>1500000</v>
      </c>
      <c r="F93" s="136">
        <v>2000000</v>
      </c>
      <c r="G93" s="136">
        <v>2500000</v>
      </c>
      <c r="H93" s="136">
        <v>3000000</v>
      </c>
      <c r="I93" s="333">
        <v>360</v>
      </c>
      <c r="K93" s="335">
        <v>0.8</v>
      </c>
      <c r="L93" s="432">
        <v>0.95</v>
      </c>
      <c r="M93" s="35" t="s">
        <v>330</v>
      </c>
    </row>
    <row r="94" spans="1:13" ht="12.75" customHeight="1" x14ac:dyDescent="0.2">
      <c r="A94" s="41" t="s">
        <v>1573</v>
      </c>
      <c r="B94" s="25" t="s">
        <v>1574</v>
      </c>
      <c r="C94" s="136">
        <v>750000</v>
      </c>
      <c r="D94" s="136">
        <v>1000000</v>
      </c>
      <c r="E94" s="136">
        <v>1500000</v>
      </c>
      <c r="F94" s="136">
        <v>2000000</v>
      </c>
      <c r="G94" s="136">
        <v>2500000</v>
      </c>
      <c r="H94" s="136">
        <v>3000000</v>
      </c>
      <c r="I94" s="333">
        <v>360</v>
      </c>
      <c r="K94" s="335">
        <v>0.8</v>
      </c>
      <c r="L94" s="432">
        <v>0.95</v>
      </c>
      <c r="M94" s="35" t="s">
        <v>330</v>
      </c>
    </row>
    <row r="95" spans="1:13" ht="12.75" customHeight="1" x14ac:dyDescent="0.2">
      <c r="A95" s="41" t="s">
        <v>1575</v>
      </c>
      <c r="B95" s="25" t="s">
        <v>1576</v>
      </c>
      <c r="C95" s="136">
        <v>750000</v>
      </c>
      <c r="D95" s="136">
        <v>1000000</v>
      </c>
      <c r="E95" s="136">
        <v>1500000</v>
      </c>
      <c r="F95" s="136">
        <v>2000000</v>
      </c>
      <c r="G95" s="136">
        <v>2500000</v>
      </c>
      <c r="H95" s="136">
        <v>3000000</v>
      </c>
      <c r="I95" s="333">
        <v>360</v>
      </c>
      <c r="K95" s="335">
        <v>0.8</v>
      </c>
      <c r="L95" s="432">
        <v>0.95</v>
      </c>
      <c r="M95" s="35" t="s">
        <v>330</v>
      </c>
    </row>
    <row r="96" spans="1:13" ht="12.75" customHeight="1" x14ac:dyDescent="0.2">
      <c r="A96" s="41" t="s">
        <v>1577</v>
      </c>
      <c r="B96" s="25" t="s">
        <v>1578</v>
      </c>
      <c r="C96" s="136">
        <v>750000</v>
      </c>
      <c r="D96" s="136">
        <v>1000000</v>
      </c>
      <c r="E96" s="136">
        <v>1500000</v>
      </c>
      <c r="F96" s="136">
        <v>2000000</v>
      </c>
      <c r="G96" s="136">
        <v>2500000</v>
      </c>
      <c r="H96" s="136">
        <v>3000000</v>
      </c>
      <c r="I96" s="333">
        <v>360</v>
      </c>
      <c r="K96" s="335">
        <v>0.8</v>
      </c>
      <c r="L96" s="432">
        <v>0.95</v>
      </c>
      <c r="M96" s="35" t="s">
        <v>330</v>
      </c>
    </row>
    <row r="97" spans="1:13" ht="12.75" customHeight="1" x14ac:dyDescent="0.2">
      <c r="A97" s="41" t="s">
        <v>1579</v>
      </c>
      <c r="B97" s="25" t="s">
        <v>1580</v>
      </c>
      <c r="C97" s="136">
        <v>750000</v>
      </c>
      <c r="D97" s="136">
        <v>1000000</v>
      </c>
      <c r="E97" s="136">
        <v>1500000</v>
      </c>
      <c r="F97" s="136">
        <v>2000000</v>
      </c>
      <c r="G97" s="136">
        <v>2500000</v>
      </c>
      <c r="H97" s="136">
        <v>3000000</v>
      </c>
      <c r="I97" s="333">
        <v>360</v>
      </c>
      <c r="K97" s="335">
        <v>0.8</v>
      </c>
      <c r="L97" s="432">
        <v>0.95</v>
      </c>
      <c r="M97" s="35" t="s">
        <v>330</v>
      </c>
    </row>
    <row r="98" spans="1:13" ht="12.75" customHeight="1" x14ac:dyDescent="0.2">
      <c r="A98" s="41" t="s">
        <v>1581</v>
      </c>
      <c r="B98" s="25" t="s">
        <v>1582</v>
      </c>
      <c r="C98" s="136">
        <v>750000</v>
      </c>
      <c r="D98" s="136">
        <v>1000000</v>
      </c>
      <c r="E98" s="136">
        <v>1500000</v>
      </c>
      <c r="F98" s="136">
        <v>2000000</v>
      </c>
      <c r="G98" s="136">
        <v>2500000</v>
      </c>
      <c r="H98" s="136">
        <v>3000000</v>
      </c>
      <c r="I98" s="333">
        <v>360</v>
      </c>
      <c r="K98" s="335">
        <v>0.8</v>
      </c>
      <c r="L98" s="432"/>
      <c r="M98" s="35" t="s">
        <v>330</v>
      </c>
    </row>
    <row r="99" spans="1:13" ht="12.75" customHeight="1" x14ac:dyDescent="0.2">
      <c r="A99" s="41" t="s">
        <v>1583</v>
      </c>
      <c r="B99" s="25" t="s">
        <v>1584</v>
      </c>
      <c r="C99" s="136">
        <v>750000</v>
      </c>
      <c r="D99" s="136">
        <v>1000000</v>
      </c>
      <c r="E99" s="136">
        <v>1500000</v>
      </c>
      <c r="F99" s="136">
        <v>2000000</v>
      </c>
      <c r="G99" s="136">
        <v>2500000</v>
      </c>
      <c r="H99" s="136">
        <v>3000000</v>
      </c>
      <c r="I99" s="333">
        <v>360</v>
      </c>
      <c r="K99" s="335">
        <v>0.8</v>
      </c>
      <c r="L99" s="432">
        <v>0.9</v>
      </c>
      <c r="M99" s="35" t="s">
        <v>330</v>
      </c>
    </row>
    <row r="100" spans="1:13" ht="12.75" customHeight="1" x14ac:dyDescent="0.2">
      <c r="A100" s="41" t="s">
        <v>1585</v>
      </c>
      <c r="B100" s="25" t="s">
        <v>1586</v>
      </c>
      <c r="C100" s="136">
        <v>750000</v>
      </c>
      <c r="D100" s="136">
        <v>1000000</v>
      </c>
      <c r="E100" s="136">
        <v>1500000</v>
      </c>
      <c r="F100" s="136">
        <v>2000000</v>
      </c>
      <c r="G100" s="136">
        <v>2500000</v>
      </c>
      <c r="H100" s="136">
        <v>3000000</v>
      </c>
      <c r="I100" s="333">
        <v>360</v>
      </c>
      <c r="K100" s="335">
        <v>0.8</v>
      </c>
      <c r="M100" s="35" t="s">
        <v>330</v>
      </c>
    </row>
    <row r="101" spans="1:13" ht="12.75" customHeight="1" x14ac:dyDescent="0.2">
      <c r="A101" s="41" t="s">
        <v>1587</v>
      </c>
      <c r="B101" s="25" t="s">
        <v>1588</v>
      </c>
      <c r="C101" s="136">
        <v>750000</v>
      </c>
      <c r="D101" s="136">
        <v>1000000</v>
      </c>
      <c r="E101" s="136">
        <v>1500000</v>
      </c>
      <c r="F101" s="136">
        <v>2000000</v>
      </c>
      <c r="G101" s="136">
        <v>2500000</v>
      </c>
      <c r="H101" s="136">
        <v>3000000</v>
      </c>
      <c r="I101" s="333">
        <v>360</v>
      </c>
      <c r="K101" s="335">
        <v>0.8</v>
      </c>
      <c r="L101" s="432">
        <v>0.9</v>
      </c>
      <c r="M101" s="35" t="s">
        <v>330</v>
      </c>
    </row>
    <row r="102" spans="1:13" ht="12.75" customHeight="1" x14ac:dyDescent="0.2">
      <c r="A102" s="41" t="s">
        <v>1589</v>
      </c>
      <c r="B102" s="25" t="s">
        <v>1590</v>
      </c>
      <c r="C102" s="136">
        <v>750000</v>
      </c>
      <c r="D102" s="136">
        <v>1000000</v>
      </c>
      <c r="E102" s="136">
        <v>1500000</v>
      </c>
      <c r="F102" s="136">
        <v>2000000</v>
      </c>
      <c r="G102" s="136">
        <v>2500000</v>
      </c>
      <c r="H102" s="136">
        <v>3000000</v>
      </c>
      <c r="I102" s="333">
        <v>360</v>
      </c>
      <c r="K102" s="335">
        <v>0.8</v>
      </c>
      <c r="L102" s="432">
        <v>0.9</v>
      </c>
      <c r="M102" s="35" t="s">
        <v>330</v>
      </c>
    </row>
    <row r="103" spans="1:13" ht="12.75" customHeight="1" x14ac:dyDescent="0.2">
      <c r="A103" s="41" t="s">
        <v>1591</v>
      </c>
      <c r="B103" s="25" t="s">
        <v>1592</v>
      </c>
      <c r="C103" s="136">
        <v>750000</v>
      </c>
      <c r="D103" s="136">
        <v>1000000</v>
      </c>
      <c r="E103" s="136">
        <v>1500000</v>
      </c>
      <c r="F103" s="136">
        <v>2000000</v>
      </c>
      <c r="G103" s="136">
        <v>2500000</v>
      </c>
      <c r="H103" s="136">
        <v>3000000</v>
      </c>
      <c r="I103" s="333">
        <v>360</v>
      </c>
      <c r="K103" s="335">
        <v>0.8</v>
      </c>
      <c r="L103" s="432">
        <v>0.9</v>
      </c>
      <c r="M103" s="35" t="s">
        <v>330</v>
      </c>
    </row>
    <row r="104" spans="1:13" ht="12.75" customHeight="1" x14ac:dyDescent="0.2">
      <c r="A104" s="41" t="s">
        <v>1593</v>
      </c>
      <c r="B104" s="25" t="s">
        <v>1594</v>
      </c>
      <c r="C104" s="136">
        <v>750000</v>
      </c>
      <c r="D104" s="136">
        <v>1000000</v>
      </c>
      <c r="E104" s="136">
        <v>1500000</v>
      </c>
      <c r="F104" s="136">
        <v>2000000</v>
      </c>
      <c r="G104" s="136">
        <v>2500000</v>
      </c>
      <c r="H104" s="136">
        <v>3000000</v>
      </c>
      <c r="I104" s="333">
        <v>360</v>
      </c>
      <c r="K104" s="335">
        <v>0.8</v>
      </c>
      <c r="L104" s="432">
        <v>0.9</v>
      </c>
      <c r="M104" s="35" t="s">
        <v>330</v>
      </c>
    </row>
    <row r="105" spans="1:13" ht="12.75" customHeight="1" x14ac:dyDescent="0.2">
      <c r="A105" s="41" t="s">
        <v>1595</v>
      </c>
      <c r="B105" s="25" t="s">
        <v>1596</v>
      </c>
      <c r="C105" s="136">
        <v>750000</v>
      </c>
      <c r="D105" s="136">
        <v>1000000</v>
      </c>
      <c r="E105" s="136">
        <v>1500000</v>
      </c>
      <c r="F105" s="136">
        <v>2000000</v>
      </c>
      <c r="G105" s="136">
        <v>2500000</v>
      </c>
      <c r="H105" s="136">
        <v>3000000</v>
      </c>
      <c r="I105" s="333">
        <v>360</v>
      </c>
      <c r="K105" s="335">
        <v>0.8</v>
      </c>
      <c r="L105" s="432">
        <v>0.9</v>
      </c>
      <c r="M105" s="35" t="s">
        <v>330</v>
      </c>
    </row>
    <row r="106" spans="1:13" ht="12.75" customHeight="1" x14ac:dyDescent="0.2">
      <c r="A106" s="41" t="s">
        <v>1597</v>
      </c>
      <c r="B106" s="25" t="s">
        <v>1598</v>
      </c>
      <c r="C106" s="136">
        <v>750000</v>
      </c>
      <c r="D106" s="136">
        <v>1000000</v>
      </c>
      <c r="E106" s="136">
        <v>1500000</v>
      </c>
      <c r="F106" s="136">
        <v>2000000</v>
      </c>
      <c r="G106" s="136">
        <v>2500000</v>
      </c>
      <c r="H106" s="136">
        <v>3000000</v>
      </c>
      <c r="I106" s="333">
        <v>360</v>
      </c>
      <c r="K106" s="335">
        <v>0.8</v>
      </c>
      <c r="L106" s="432">
        <v>0.9</v>
      </c>
      <c r="M106" s="35" t="s">
        <v>330</v>
      </c>
    </row>
    <row r="107" spans="1:13" ht="12.75" customHeight="1" x14ac:dyDescent="0.2">
      <c r="A107" s="41" t="s">
        <v>1599</v>
      </c>
      <c r="B107" s="25" t="s">
        <v>1600</v>
      </c>
      <c r="C107" s="136">
        <v>750000</v>
      </c>
      <c r="D107" s="136">
        <v>1000000</v>
      </c>
      <c r="E107" s="136">
        <v>1500000</v>
      </c>
      <c r="F107" s="136">
        <v>2000000</v>
      </c>
      <c r="G107" s="136">
        <v>2500000</v>
      </c>
      <c r="H107" s="136">
        <v>3000000</v>
      </c>
      <c r="I107" s="333">
        <v>360</v>
      </c>
      <c r="K107" s="335">
        <v>0.8</v>
      </c>
      <c r="L107" s="432">
        <v>0.9</v>
      </c>
      <c r="M107" s="35" t="s">
        <v>330</v>
      </c>
    </row>
    <row r="108" spans="1:13" ht="12.75" customHeight="1" x14ac:dyDescent="0.2">
      <c r="A108" s="41" t="s">
        <v>1601</v>
      </c>
      <c r="B108" s="25" t="s">
        <v>1602</v>
      </c>
      <c r="C108" s="136">
        <v>750000</v>
      </c>
      <c r="D108" s="136">
        <v>1000000</v>
      </c>
      <c r="E108" s="136">
        <v>1500000</v>
      </c>
      <c r="F108" s="136">
        <v>2000000</v>
      </c>
      <c r="G108" s="136">
        <v>2500000</v>
      </c>
      <c r="H108" s="136">
        <v>3000000</v>
      </c>
      <c r="I108" s="333">
        <v>360</v>
      </c>
      <c r="K108" s="335">
        <v>0.8</v>
      </c>
      <c r="L108" s="432">
        <v>0.9</v>
      </c>
      <c r="M108" s="35" t="s">
        <v>330</v>
      </c>
    </row>
    <row r="109" spans="1:13" ht="12.75" customHeight="1" x14ac:dyDescent="0.2">
      <c r="A109" s="41" t="s">
        <v>1603</v>
      </c>
      <c r="B109" s="25" t="s">
        <v>1604</v>
      </c>
      <c r="C109" s="136">
        <v>750000</v>
      </c>
      <c r="D109" s="136">
        <v>1000000</v>
      </c>
      <c r="E109" s="136">
        <v>1500000</v>
      </c>
      <c r="F109" s="136">
        <v>2000000</v>
      </c>
      <c r="G109" s="136">
        <v>2500000</v>
      </c>
      <c r="H109" s="136">
        <v>3000000</v>
      </c>
      <c r="I109" s="333">
        <v>360</v>
      </c>
      <c r="K109" s="335">
        <v>0.8</v>
      </c>
      <c r="L109" s="432">
        <v>0.9</v>
      </c>
      <c r="M109" s="35" t="s">
        <v>330</v>
      </c>
    </row>
    <row r="110" spans="1:13" ht="12.75" customHeight="1" x14ac:dyDescent="0.2">
      <c r="A110" s="41" t="s">
        <v>1605</v>
      </c>
      <c r="B110" s="25" t="s">
        <v>1606</v>
      </c>
      <c r="C110" s="136">
        <v>750000</v>
      </c>
      <c r="D110" s="136">
        <v>1000000</v>
      </c>
      <c r="E110" s="136">
        <v>1500000</v>
      </c>
      <c r="F110" s="136">
        <v>2000000</v>
      </c>
      <c r="G110" s="136">
        <v>2500000</v>
      </c>
      <c r="H110" s="136">
        <v>3000000</v>
      </c>
      <c r="I110" s="333">
        <v>360</v>
      </c>
      <c r="K110" s="335">
        <v>0.8</v>
      </c>
      <c r="L110" s="432">
        <v>0.9</v>
      </c>
      <c r="M110" s="35" t="s">
        <v>330</v>
      </c>
    </row>
    <row r="111" spans="1:13" ht="12.75" customHeight="1" x14ac:dyDescent="0.2">
      <c r="A111" s="18" t="s">
        <v>1415</v>
      </c>
      <c r="B111" s="18" t="s">
        <v>1416</v>
      </c>
      <c r="C111" s="136">
        <v>750000</v>
      </c>
      <c r="D111" s="136">
        <v>1000000</v>
      </c>
      <c r="E111" s="136">
        <v>1500000</v>
      </c>
      <c r="F111" s="136">
        <v>2000000</v>
      </c>
      <c r="G111" s="136">
        <v>2500000</v>
      </c>
      <c r="H111" s="136">
        <v>3000000</v>
      </c>
      <c r="I111" s="333">
        <v>360</v>
      </c>
      <c r="J111" s="19"/>
      <c r="K111" s="335">
        <v>0.8</v>
      </c>
      <c r="L111" s="664">
        <v>0.9</v>
      </c>
      <c r="M111" s="35" t="s">
        <v>330</v>
      </c>
    </row>
    <row r="112" spans="1:13" ht="12.75" customHeight="1" x14ac:dyDescent="0.2">
      <c r="A112" s="18" t="s">
        <v>151</v>
      </c>
      <c r="B112" s="18" t="s">
        <v>152</v>
      </c>
      <c r="C112" s="136">
        <v>750000</v>
      </c>
      <c r="D112" s="136">
        <v>1000000</v>
      </c>
      <c r="E112" s="136">
        <v>1500000</v>
      </c>
      <c r="F112" s="136">
        <v>2000000</v>
      </c>
      <c r="G112" s="136">
        <v>2500000</v>
      </c>
      <c r="H112" s="136">
        <v>3000000</v>
      </c>
      <c r="I112" s="333">
        <v>360</v>
      </c>
      <c r="J112" s="19"/>
      <c r="K112" s="335">
        <v>0.8</v>
      </c>
      <c r="L112" s="431"/>
      <c r="M112" s="35" t="s">
        <v>330</v>
      </c>
    </row>
    <row r="113" spans="1:13" ht="12.75" customHeight="1" x14ac:dyDescent="0.2">
      <c r="A113" s="18" t="s">
        <v>1421</v>
      </c>
      <c r="B113" s="18" t="s">
        <v>1422</v>
      </c>
      <c r="C113" s="136">
        <v>750000</v>
      </c>
      <c r="D113" s="136">
        <v>1000000</v>
      </c>
      <c r="E113" s="136">
        <v>1500000</v>
      </c>
      <c r="F113" s="136">
        <v>2000000</v>
      </c>
      <c r="G113" s="136">
        <v>2500000</v>
      </c>
      <c r="H113" s="136">
        <v>3000000</v>
      </c>
      <c r="I113" s="333">
        <v>360</v>
      </c>
      <c r="J113" s="19"/>
      <c r="K113" s="335">
        <v>0.8</v>
      </c>
      <c r="L113" s="664">
        <v>0.95</v>
      </c>
      <c r="M113" s="35" t="s">
        <v>330</v>
      </c>
    </row>
    <row r="114" spans="1:13" ht="12.75" customHeight="1" x14ac:dyDescent="0.2">
      <c r="A114" s="18" t="s">
        <v>153</v>
      </c>
      <c r="B114" s="18" t="s">
        <v>154</v>
      </c>
      <c r="C114" s="136">
        <v>750000</v>
      </c>
      <c r="D114" s="136">
        <v>1000000</v>
      </c>
      <c r="E114" s="136">
        <v>1500000</v>
      </c>
      <c r="F114" s="136">
        <v>2000000</v>
      </c>
      <c r="G114" s="136">
        <v>2500000</v>
      </c>
      <c r="H114" s="136">
        <v>3000000</v>
      </c>
      <c r="I114" s="333">
        <v>360</v>
      </c>
      <c r="K114" s="335">
        <v>0.8</v>
      </c>
      <c r="L114" s="432">
        <v>0.95</v>
      </c>
      <c r="M114" s="35" t="s">
        <v>330</v>
      </c>
    </row>
    <row r="115" spans="1:13" ht="12.75" customHeight="1" x14ac:dyDescent="0.2">
      <c r="A115" s="18" t="s">
        <v>331</v>
      </c>
      <c r="B115" s="18" t="s">
        <v>332</v>
      </c>
      <c r="C115" s="136">
        <v>750000</v>
      </c>
      <c r="D115" s="136">
        <v>1000000</v>
      </c>
      <c r="E115" s="136">
        <v>1500000</v>
      </c>
      <c r="F115" s="136">
        <v>2000000</v>
      </c>
      <c r="G115" s="136">
        <v>2500000</v>
      </c>
      <c r="H115" s="136">
        <v>3000000</v>
      </c>
      <c r="I115" s="333">
        <v>360</v>
      </c>
      <c r="K115" s="335">
        <v>0.8</v>
      </c>
      <c r="L115" s="432">
        <v>0.95</v>
      </c>
      <c r="M115" s="35" t="s">
        <v>330</v>
      </c>
    </row>
    <row r="116" spans="1:13" ht="12.75" customHeight="1" x14ac:dyDescent="0.2">
      <c r="A116" s="18" t="s">
        <v>155</v>
      </c>
      <c r="B116" s="18" t="s">
        <v>156</v>
      </c>
      <c r="C116" s="136">
        <v>750000</v>
      </c>
      <c r="D116" s="136">
        <v>1000000</v>
      </c>
      <c r="E116" s="136">
        <v>1500000</v>
      </c>
      <c r="F116" s="136">
        <v>2000000</v>
      </c>
      <c r="G116" s="136">
        <v>2500000</v>
      </c>
      <c r="H116" s="136">
        <v>3000000</v>
      </c>
      <c r="I116" s="333">
        <v>360</v>
      </c>
      <c r="K116" s="335">
        <v>0.8</v>
      </c>
      <c r="L116" s="432">
        <v>0.95</v>
      </c>
      <c r="M116" s="35" t="s">
        <v>330</v>
      </c>
    </row>
    <row r="117" spans="1:13" ht="12.75" customHeight="1" x14ac:dyDescent="0.2">
      <c r="A117" s="18" t="s">
        <v>333</v>
      </c>
      <c r="B117" s="18" t="s">
        <v>334</v>
      </c>
      <c r="C117" s="136">
        <v>750000</v>
      </c>
      <c r="D117" s="136">
        <v>1000000</v>
      </c>
      <c r="E117" s="136">
        <v>1500000</v>
      </c>
      <c r="F117" s="136">
        <v>2000000</v>
      </c>
      <c r="G117" s="136">
        <v>2500000</v>
      </c>
      <c r="H117" s="136">
        <v>3000000</v>
      </c>
      <c r="I117" s="333">
        <v>360</v>
      </c>
      <c r="K117" s="335">
        <v>0.8</v>
      </c>
      <c r="L117" s="432">
        <v>0.95</v>
      </c>
      <c r="M117" s="35" t="s">
        <v>330</v>
      </c>
    </row>
    <row r="118" spans="1:13" ht="12.75" customHeight="1" x14ac:dyDescent="0.2">
      <c r="A118" s="25" t="s">
        <v>157</v>
      </c>
      <c r="B118" s="25" t="s">
        <v>158</v>
      </c>
      <c r="C118" s="136">
        <v>750000</v>
      </c>
      <c r="D118" s="136">
        <v>1000000</v>
      </c>
      <c r="E118" s="136">
        <v>1500000</v>
      </c>
      <c r="F118" s="136">
        <v>2000000</v>
      </c>
      <c r="G118" s="136">
        <v>2500000</v>
      </c>
      <c r="H118" s="136">
        <v>3000000</v>
      </c>
      <c r="I118" s="333">
        <v>360</v>
      </c>
      <c r="K118" s="335">
        <v>0.8</v>
      </c>
      <c r="L118" s="432">
        <v>0.95</v>
      </c>
      <c r="M118" s="35" t="s">
        <v>330</v>
      </c>
    </row>
    <row r="119" spans="1:13" ht="12.75" customHeight="1" x14ac:dyDescent="0.2">
      <c r="A119" s="25" t="s">
        <v>335</v>
      </c>
      <c r="B119" s="25" t="s">
        <v>336</v>
      </c>
      <c r="C119" s="136">
        <v>750000</v>
      </c>
      <c r="D119" s="136">
        <v>1000000</v>
      </c>
      <c r="E119" s="136">
        <v>1500000</v>
      </c>
      <c r="F119" s="136">
        <v>2000000</v>
      </c>
      <c r="G119" s="136">
        <v>2500000</v>
      </c>
      <c r="H119" s="136">
        <v>3000000</v>
      </c>
      <c r="I119" s="333">
        <v>360</v>
      </c>
      <c r="K119" s="335">
        <v>0.8</v>
      </c>
      <c r="L119" s="432">
        <v>0.95</v>
      </c>
      <c r="M119" s="35" t="s">
        <v>330</v>
      </c>
    </row>
    <row r="120" spans="1:13" ht="12.75" customHeight="1" x14ac:dyDescent="0.2">
      <c r="A120" s="25" t="s">
        <v>159</v>
      </c>
      <c r="B120" s="25" t="s">
        <v>160</v>
      </c>
      <c r="C120" s="136">
        <v>750000</v>
      </c>
      <c r="D120" s="136">
        <v>1000000</v>
      </c>
      <c r="E120" s="136">
        <v>1500000</v>
      </c>
      <c r="F120" s="136">
        <v>2000000</v>
      </c>
      <c r="G120" s="136">
        <v>2500000</v>
      </c>
      <c r="H120" s="136">
        <v>3000000</v>
      </c>
      <c r="I120" s="333">
        <v>360</v>
      </c>
      <c r="K120" s="335">
        <v>0.8</v>
      </c>
      <c r="L120" s="432">
        <v>0.95</v>
      </c>
      <c r="M120" s="35" t="s">
        <v>330</v>
      </c>
    </row>
    <row r="121" spans="1:13" ht="12.75" customHeight="1" x14ac:dyDescent="0.2">
      <c r="A121" s="25" t="s">
        <v>161</v>
      </c>
      <c r="B121" s="25" t="s">
        <v>162</v>
      </c>
      <c r="C121" s="136">
        <v>750000</v>
      </c>
      <c r="D121" s="136">
        <v>1000000</v>
      </c>
      <c r="E121" s="136">
        <v>1500000</v>
      </c>
      <c r="F121" s="136">
        <v>2000000</v>
      </c>
      <c r="G121" s="136">
        <v>2500000</v>
      </c>
      <c r="H121" s="136">
        <v>3000000</v>
      </c>
      <c r="I121" s="333">
        <v>360</v>
      </c>
      <c r="K121" s="335">
        <v>0.8</v>
      </c>
      <c r="L121" s="432">
        <v>0.95</v>
      </c>
      <c r="M121" s="35" t="s">
        <v>330</v>
      </c>
    </row>
    <row r="122" spans="1:13" ht="12.75" customHeight="1" x14ac:dyDescent="0.2">
      <c r="A122" s="25" t="s">
        <v>163</v>
      </c>
      <c r="B122" s="25" t="s">
        <v>164</v>
      </c>
      <c r="C122" s="136">
        <v>750000</v>
      </c>
      <c r="D122" s="136">
        <v>1000000</v>
      </c>
      <c r="E122" s="136">
        <v>1500000</v>
      </c>
      <c r="F122" s="136">
        <v>2000000</v>
      </c>
      <c r="G122" s="136">
        <v>2500000</v>
      </c>
      <c r="H122" s="136">
        <v>3000000</v>
      </c>
      <c r="I122" s="333">
        <v>360</v>
      </c>
      <c r="K122" s="335">
        <v>0.8</v>
      </c>
      <c r="L122" s="432">
        <v>0.95</v>
      </c>
      <c r="M122" s="35" t="s">
        <v>330</v>
      </c>
    </row>
    <row r="123" spans="1:13" ht="12.75" customHeight="1" x14ac:dyDescent="0.2">
      <c r="A123" s="25" t="s">
        <v>1417</v>
      </c>
      <c r="B123" s="25" t="s">
        <v>166</v>
      </c>
      <c r="C123" s="136">
        <v>750000</v>
      </c>
      <c r="D123" s="136">
        <v>1000000</v>
      </c>
      <c r="E123" s="136">
        <v>1500000</v>
      </c>
      <c r="F123" s="136">
        <v>2000000</v>
      </c>
      <c r="G123" s="136">
        <v>2500000</v>
      </c>
      <c r="H123" s="136">
        <v>3000000</v>
      </c>
      <c r="I123" s="333">
        <v>360</v>
      </c>
      <c r="K123" s="336">
        <v>0.8</v>
      </c>
      <c r="L123" s="664">
        <v>0.9</v>
      </c>
      <c r="M123" s="35" t="s">
        <v>330</v>
      </c>
    </row>
    <row r="124" spans="1:13" ht="12.75" customHeight="1" x14ac:dyDescent="0.2">
      <c r="A124" s="25" t="s">
        <v>1418</v>
      </c>
      <c r="B124" s="25" t="s">
        <v>1428</v>
      </c>
      <c r="C124" s="136">
        <v>750000</v>
      </c>
      <c r="D124" s="136">
        <v>1000000</v>
      </c>
      <c r="E124" s="136">
        <v>1500000</v>
      </c>
      <c r="F124" s="136">
        <v>2000000</v>
      </c>
      <c r="G124" s="136">
        <v>2500000</v>
      </c>
      <c r="H124" s="136">
        <v>3000000</v>
      </c>
      <c r="I124" s="333">
        <v>360</v>
      </c>
      <c r="K124" s="336">
        <v>0.8</v>
      </c>
      <c r="L124" s="664">
        <v>0.9</v>
      </c>
      <c r="M124" s="35" t="s">
        <v>330</v>
      </c>
    </row>
    <row r="125" spans="1:13" ht="12.75" customHeight="1" x14ac:dyDescent="0.2">
      <c r="A125" s="25" t="s">
        <v>165</v>
      </c>
      <c r="B125" s="25" t="s">
        <v>166</v>
      </c>
      <c r="C125" s="136">
        <v>750000</v>
      </c>
      <c r="D125" s="136">
        <v>1000000</v>
      </c>
      <c r="E125" s="136">
        <v>1500000</v>
      </c>
      <c r="F125" s="136">
        <v>2000000</v>
      </c>
      <c r="G125" s="136">
        <v>2500000</v>
      </c>
      <c r="H125" s="136">
        <v>3000000</v>
      </c>
      <c r="I125" s="333">
        <v>360</v>
      </c>
      <c r="K125" s="336">
        <v>0.8</v>
      </c>
      <c r="L125" s="431"/>
      <c r="M125" s="35" t="s">
        <v>330</v>
      </c>
    </row>
    <row r="126" spans="1:13" ht="12.75" customHeight="1" x14ac:dyDescent="0.2">
      <c r="A126" s="25" t="s">
        <v>167</v>
      </c>
      <c r="B126" s="25" t="s">
        <v>168</v>
      </c>
      <c r="C126" s="136">
        <v>750000</v>
      </c>
      <c r="D126" s="136">
        <v>1000000</v>
      </c>
      <c r="E126" s="136">
        <v>1500000</v>
      </c>
      <c r="F126" s="136">
        <v>2000000</v>
      </c>
      <c r="G126" s="136">
        <v>2500000</v>
      </c>
      <c r="H126" s="136">
        <v>3000000</v>
      </c>
      <c r="I126" s="333">
        <v>360</v>
      </c>
      <c r="K126" s="336">
        <v>0.8</v>
      </c>
      <c r="L126" s="431"/>
      <c r="M126" s="35" t="s">
        <v>330</v>
      </c>
    </row>
    <row r="127" spans="1:13" ht="12.75" customHeight="1" x14ac:dyDescent="0.2">
      <c r="A127" s="18" t="s">
        <v>169</v>
      </c>
      <c r="B127" s="18" t="s">
        <v>170</v>
      </c>
      <c r="C127" s="136">
        <v>750000</v>
      </c>
      <c r="D127" s="136">
        <v>1000000</v>
      </c>
      <c r="E127" s="136">
        <v>1500000</v>
      </c>
      <c r="F127" s="136">
        <v>2000000</v>
      </c>
      <c r="G127" s="136">
        <v>2500000</v>
      </c>
      <c r="H127" s="136">
        <v>3000000</v>
      </c>
      <c r="I127" s="333">
        <v>360</v>
      </c>
      <c r="K127" s="335">
        <v>0.8</v>
      </c>
      <c r="L127" s="432">
        <v>0.9</v>
      </c>
      <c r="M127" s="35" t="s">
        <v>330</v>
      </c>
    </row>
    <row r="128" spans="1:13" ht="12.75" customHeight="1" x14ac:dyDescent="0.2">
      <c r="A128" s="18" t="s">
        <v>171</v>
      </c>
      <c r="B128" s="18" t="s">
        <v>172</v>
      </c>
      <c r="C128" s="136">
        <v>750000</v>
      </c>
      <c r="D128" s="136">
        <v>1000000</v>
      </c>
      <c r="E128" s="136">
        <v>1500000</v>
      </c>
      <c r="F128" s="136">
        <v>2000000</v>
      </c>
      <c r="G128" s="136">
        <v>2500000</v>
      </c>
      <c r="H128" s="136">
        <v>3000000</v>
      </c>
      <c r="I128" s="333">
        <v>360</v>
      </c>
      <c r="K128" s="335">
        <v>0.8</v>
      </c>
      <c r="L128" s="432">
        <v>0.9</v>
      </c>
      <c r="M128" s="35" t="s">
        <v>330</v>
      </c>
    </row>
    <row r="129" spans="1:13" ht="12.75" customHeight="1" x14ac:dyDescent="0.2">
      <c r="A129" s="25" t="s">
        <v>173</v>
      </c>
      <c r="B129" s="25" t="s">
        <v>174</v>
      </c>
      <c r="C129" s="136">
        <v>750000</v>
      </c>
      <c r="D129" s="136">
        <v>1000000</v>
      </c>
      <c r="E129" s="136">
        <v>1500000</v>
      </c>
      <c r="F129" s="136">
        <v>2000000</v>
      </c>
      <c r="G129" s="136">
        <v>2500000</v>
      </c>
      <c r="H129" s="136">
        <v>3000000</v>
      </c>
      <c r="I129" s="333">
        <v>360</v>
      </c>
      <c r="K129" s="335">
        <v>0.8</v>
      </c>
      <c r="L129" s="432">
        <v>0.9</v>
      </c>
      <c r="M129" s="35" t="s">
        <v>330</v>
      </c>
    </row>
    <row r="130" spans="1:13" ht="12.75" customHeight="1" x14ac:dyDescent="0.2">
      <c r="A130" s="25" t="s">
        <v>175</v>
      </c>
      <c r="B130" s="25" t="s">
        <v>176</v>
      </c>
      <c r="C130" s="136">
        <v>750000</v>
      </c>
      <c r="D130" s="136">
        <v>1000000</v>
      </c>
      <c r="E130" s="136">
        <v>1500000</v>
      </c>
      <c r="F130" s="136">
        <v>2000000</v>
      </c>
      <c r="G130" s="136">
        <v>2500000</v>
      </c>
      <c r="H130" s="136">
        <v>3000000</v>
      </c>
      <c r="I130" s="333">
        <v>360</v>
      </c>
      <c r="K130" s="335">
        <v>0.8</v>
      </c>
      <c r="L130" s="432">
        <v>0.9</v>
      </c>
      <c r="M130" s="35" t="s">
        <v>330</v>
      </c>
    </row>
    <row r="131" spans="1:13" ht="12.75" customHeight="1" x14ac:dyDescent="0.2">
      <c r="A131" s="25" t="s">
        <v>177</v>
      </c>
      <c r="B131" s="25" t="s">
        <v>178</v>
      </c>
      <c r="C131" s="136">
        <v>750000</v>
      </c>
      <c r="D131" s="136">
        <v>1000000</v>
      </c>
      <c r="E131" s="136">
        <v>1500000</v>
      </c>
      <c r="F131" s="136">
        <v>2000000</v>
      </c>
      <c r="G131" s="136">
        <v>2500000</v>
      </c>
      <c r="H131" s="136">
        <v>3000000</v>
      </c>
      <c r="I131" s="333">
        <v>360</v>
      </c>
      <c r="K131" s="335">
        <v>0.8</v>
      </c>
      <c r="L131" s="432">
        <v>0.9</v>
      </c>
      <c r="M131" s="35" t="s">
        <v>330</v>
      </c>
    </row>
    <row r="132" spans="1:13" ht="12.75" customHeight="1" x14ac:dyDescent="0.2">
      <c r="A132" s="25" t="s">
        <v>179</v>
      </c>
      <c r="B132" s="25" t="s">
        <v>180</v>
      </c>
      <c r="C132" s="136">
        <v>750000</v>
      </c>
      <c r="D132" s="136">
        <v>1000000</v>
      </c>
      <c r="E132" s="136">
        <v>1500000</v>
      </c>
      <c r="F132" s="136">
        <v>2000000</v>
      </c>
      <c r="G132" s="136">
        <v>2500000</v>
      </c>
      <c r="H132" s="136">
        <v>3000000</v>
      </c>
      <c r="I132" s="333">
        <v>360</v>
      </c>
      <c r="K132" s="335">
        <v>0.8</v>
      </c>
      <c r="L132" s="432">
        <v>0.9</v>
      </c>
      <c r="M132" s="35" t="s">
        <v>330</v>
      </c>
    </row>
    <row r="133" spans="1:13" ht="12.75" customHeight="1" x14ac:dyDescent="0.2">
      <c r="A133" s="25" t="s">
        <v>181</v>
      </c>
      <c r="B133" s="25" t="s">
        <v>182</v>
      </c>
      <c r="C133" s="136">
        <v>750000</v>
      </c>
      <c r="D133" s="136">
        <v>1000000</v>
      </c>
      <c r="E133" s="136">
        <v>1500000</v>
      </c>
      <c r="F133" s="136">
        <v>2000000</v>
      </c>
      <c r="G133" s="136">
        <v>2500000</v>
      </c>
      <c r="H133" s="136">
        <v>3000000</v>
      </c>
      <c r="I133" s="333">
        <v>360</v>
      </c>
      <c r="K133" s="335">
        <v>0.8</v>
      </c>
      <c r="L133" s="432">
        <v>0.9</v>
      </c>
      <c r="M133" s="35" t="s">
        <v>330</v>
      </c>
    </row>
    <row r="134" spans="1:13" ht="12.75" customHeight="1" x14ac:dyDescent="0.2">
      <c r="A134" s="25" t="s">
        <v>183</v>
      </c>
      <c r="B134" s="25" t="s">
        <v>184</v>
      </c>
      <c r="C134" s="136">
        <v>750000</v>
      </c>
      <c r="D134" s="136">
        <v>1000000</v>
      </c>
      <c r="E134" s="136">
        <v>1500000</v>
      </c>
      <c r="F134" s="136">
        <v>2000000</v>
      </c>
      <c r="G134" s="136">
        <v>2500000</v>
      </c>
      <c r="H134" s="136">
        <v>3000000</v>
      </c>
      <c r="I134" s="333">
        <v>360</v>
      </c>
      <c r="K134" s="335">
        <v>0.8</v>
      </c>
      <c r="L134" s="432">
        <v>0.9</v>
      </c>
      <c r="M134" s="35" t="s">
        <v>330</v>
      </c>
    </row>
    <row r="135" spans="1:13" ht="12.75" customHeight="1" x14ac:dyDescent="0.2">
      <c r="A135" s="25" t="s">
        <v>185</v>
      </c>
      <c r="B135" s="25" t="s">
        <v>186</v>
      </c>
      <c r="C135" s="136">
        <v>750000</v>
      </c>
      <c r="D135" s="136">
        <v>1000000</v>
      </c>
      <c r="E135" s="136">
        <v>1500000</v>
      </c>
      <c r="F135" s="136">
        <v>2000000</v>
      </c>
      <c r="G135" s="136">
        <v>2500000</v>
      </c>
      <c r="H135" s="136">
        <v>3000000</v>
      </c>
      <c r="I135" s="333">
        <v>360</v>
      </c>
      <c r="K135" s="335">
        <v>0.8</v>
      </c>
      <c r="L135" s="432">
        <v>0.9</v>
      </c>
      <c r="M135" s="35" t="s">
        <v>330</v>
      </c>
    </row>
    <row r="136" spans="1:13" ht="12.75" customHeight="1" x14ac:dyDescent="0.2">
      <c r="A136" s="25" t="s">
        <v>187</v>
      </c>
      <c r="B136" s="25" t="s">
        <v>188</v>
      </c>
      <c r="C136" s="136">
        <v>750000</v>
      </c>
      <c r="D136" s="136">
        <v>1000000</v>
      </c>
      <c r="E136" s="136">
        <v>1500000</v>
      </c>
      <c r="F136" s="136">
        <v>2000000</v>
      </c>
      <c r="G136" s="136">
        <v>2500000</v>
      </c>
      <c r="H136" s="136">
        <v>3000000</v>
      </c>
      <c r="I136" s="333">
        <v>360</v>
      </c>
      <c r="K136" s="335">
        <v>0.8</v>
      </c>
      <c r="L136" s="432">
        <v>0.9</v>
      </c>
      <c r="M136" s="35" t="s">
        <v>330</v>
      </c>
    </row>
    <row r="137" spans="1:13" ht="12.75" customHeight="1" x14ac:dyDescent="0.2">
      <c r="A137" s="25" t="s">
        <v>189</v>
      </c>
      <c r="B137" s="25" t="s">
        <v>190</v>
      </c>
      <c r="C137" s="136">
        <v>750000</v>
      </c>
      <c r="D137" s="136">
        <v>1000000</v>
      </c>
      <c r="E137" s="136">
        <v>1500000</v>
      </c>
      <c r="F137" s="136">
        <v>2000000</v>
      </c>
      <c r="G137" s="136">
        <v>2500000</v>
      </c>
      <c r="H137" s="136">
        <v>3000000</v>
      </c>
      <c r="I137" s="333">
        <v>360</v>
      </c>
      <c r="K137" s="335">
        <v>0.8</v>
      </c>
      <c r="L137" s="432">
        <v>0.9</v>
      </c>
      <c r="M137" s="35" t="s">
        <v>330</v>
      </c>
    </row>
    <row r="138" spans="1:13" ht="12.6" customHeight="1" x14ac:dyDescent="0.2">
      <c r="A138" s="25" t="s">
        <v>191</v>
      </c>
      <c r="B138" s="25" t="s">
        <v>192</v>
      </c>
      <c r="C138" s="136">
        <v>750000</v>
      </c>
      <c r="D138" s="136">
        <v>1000000</v>
      </c>
      <c r="E138" s="136">
        <v>1500000</v>
      </c>
      <c r="F138" s="136">
        <v>2000000</v>
      </c>
      <c r="G138" s="136">
        <v>2500000</v>
      </c>
      <c r="H138" s="136">
        <v>3000000</v>
      </c>
      <c r="I138" s="35">
        <v>360</v>
      </c>
      <c r="K138" s="25" t="s">
        <v>1440</v>
      </c>
      <c r="L138" s="432">
        <v>0.9</v>
      </c>
      <c r="M138" s="35" t="s">
        <v>330</v>
      </c>
    </row>
    <row r="139" spans="1:13" ht="12.75" customHeight="1" x14ac:dyDescent="0.2">
      <c r="A139" s="25" t="s">
        <v>193</v>
      </c>
      <c r="B139" s="25"/>
      <c r="C139" s="136">
        <v>750000</v>
      </c>
      <c r="D139" s="136">
        <v>1000000</v>
      </c>
      <c r="E139" s="136">
        <v>1500000</v>
      </c>
      <c r="F139" s="136">
        <v>2000000</v>
      </c>
      <c r="G139" s="136">
        <v>2500000</v>
      </c>
      <c r="H139" s="136">
        <v>3000000</v>
      </c>
      <c r="K139" s="25"/>
    </row>
    <row r="140" spans="1:13" ht="12.75" customHeight="1" x14ac:dyDescent="0.2">
      <c r="A140" s="25" t="s">
        <v>337</v>
      </c>
      <c r="B140" s="25"/>
      <c r="C140" s="416">
        <v>1</v>
      </c>
      <c r="D140" s="416">
        <v>1</v>
      </c>
      <c r="E140" s="416">
        <v>1</v>
      </c>
      <c r="F140" s="416">
        <v>1</v>
      </c>
      <c r="G140" s="416">
        <v>1</v>
      </c>
      <c r="J140" s="25"/>
    </row>
    <row r="141" spans="1:13" ht="12.75" customHeight="1" x14ac:dyDescent="0.2">
      <c r="A141" s="25" t="s">
        <v>338</v>
      </c>
      <c r="B141" s="25"/>
      <c r="C141" s="416">
        <v>1</v>
      </c>
      <c r="D141" s="416">
        <v>1</v>
      </c>
      <c r="E141" s="416">
        <v>1</v>
      </c>
      <c r="F141" s="416">
        <v>1</v>
      </c>
      <c r="G141" s="416">
        <v>1</v>
      </c>
      <c r="J141" s="25"/>
    </row>
    <row r="142" spans="1:13" ht="12.75" customHeight="1" x14ac:dyDescent="0.2">
      <c r="A142" s="25"/>
      <c r="B142" s="25"/>
      <c r="C142" s="30" t="e">
        <f>+VLOOKUP(Worksheet!$D$24,Delegations,12,FALSE)</f>
        <v>#N/A</v>
      </c>
      <c r="D142" s="30" t="e">
        <f>+VLOOKUP(Worksheet!$D$24,Delegations,12,FALSE)</f>
        <v>#N/A</v>
      </c>
      <c r="E142" s="30" t="e">
        <f>+VLOOKUP(Worksheet!$D$24,Delegations,12,FALSE)</f>
        <v>#N/A</v>
      </c>
      <c r="F142" s="30" t="e">
        <f>+VLOOKUP(Worksheet!$D$24,Delegations,12,FALSE)</f>
        <v>#N/A</v>
      </c>
      <c r="G142" s="30" t="e">
        <f>+VLOOKUP(Worksheet!$D$24,Delegations,12,FALSE)</f>
        <v>#N/A</v>
      </c>
      <c r="J142" s="25"/>
    </row>
    <row r="143" spans="1:13" ht="12.75" customHeight="1" x14ac:dyDescent="0.2">
      <c r="A143" s="25" t="s">
        <v>194</v>
      </c>
      <c r="B143" s="25"/>
      <c r="C143" s="24" t="e">
        <f>+IF(C142="PL",C140,C141)</f>
        <v>#N/A</v>
      </c>
      <c r="D143" s="24" t="e">
        <f t="shared" ref="D143:G143" si="0">+IF(D142="PL",D140,D141)</f>
        <v>#N/A</v>
      </c>
      <c r="E143" s="24" t="e">
        <f t="shared" si="0"/>
        <v>#N/A</v>
      </c>
      <c r="F143" s="24" t="e">
        <f t="shared" si="0"/>
        <v>#N/A</v>
      </c>
      <c r="G143" s="24" t="e">
        <f t="shared" si="0"/>
        <v>#N/A</v>
      </c>
      <c r="J143" s="25"/>
    </row>
    <row r="144" spans="1:13" ht="12.75" customHeight="1" x14ac:dyDescent="0.2">
      <c r="A144" s="25" t="s">
        <v>1455</v>
      </c>
      <c r="B144" s="25"/>
      <c r="C144" s="416">
        <v>0</v>
      </c>
      <c r="D144" s="416">
        <v>0</v>
      </c>
      <c r="E144" s="416">
        <v>0</v>
      </c>
      <c r="F144" s="416">
        <v>0.98</v>
      </c>
      <c r="G144" s="416">
        <v>0.98</v>
      </c>
      <c r="J144" s="25"/>
    </row>
    <row r="145" spans="1:16" ht="12.75" customHeight="1" x14ac:dyDescent="0.2">
      <c r="A145" s="25" t="s">
        <v>305</v>
      </c>
      <c r="B145" s="25"/>
      <c r="C145" s="416">
        <v>0</v>
      </c>
      <c r="D145" s="416">
        <v>0</v>
      </c>
      <c r="E145" s="416">
        <v>0</v>
      </c>
      <c r="F145" s="416">
        <v>0</v>
      </c>
      <c r="G145" s="416">
        <v>0.95</v>
      </c>
      <c r="J145" s="25"/>
    </row>
    <row r="146" spans="1:16" ht="12.75" customHeight="1" x14ac:dyDescent="0.2">
      <c r="A146" s="25" t="s">
        <v>339</v>
      </c>
      <c r="B146" s="25"/>
      <c r="C146" s="417">
        <v>12</v>
      </c>
      <c r="D146" s="417">
        <v>12</v>
      </c>
      <c r="E146" s="417">
        <v>12</v>
      </c>
      <c r="F146" s="417">
        <v>12</v>
      </c>
      <c r="G146" s="417">
        <v>12</v>
      </c>
      <c r="J146" s="25"/>
    </row>
    <row r="147" spans="1:16" ht="12.75" customHeight="1" x14ac:dyDescent="0.2">
      <c r="A147" s="25" t="s">
        <v>340</v>
      </c>
      <c r="B147" s="25"/>
      <c r="C147" s="597">
        <v>4.99</v>
      </c>
      <c r="D147" s="597">
        <v>5.99</v>
      </c>
      <c r="E147" s="597">
        <v>6.49</v>
      </c>
      <c r="F147" s="597">
        <v>6.99</v>
      </c>
      <c r="G147" s="597">
        <v>7.99</v>
      </c>
      <c r="H147" s="598"/>
      <c r="J147" s="25"/>
    </row>
    <row r="148" spans="1:16" ht="12.75" customHeight="1" x14ac:dyDescent="0.2">
      <c r="A148" s="25" t="s">
        <v>119</v>
      </c>
      <c r="B148" s="25"/>
      <c r="C148" s="680" t="e">
        <f>+IF(C149="HL","HL","PL")</f>
        <v>#N/A</v>
      </c>
      <c r="D148" s="680" t="e">
        <f t="shared" ref="D148" si="1">+IF(D142="HL",D147,D146)</f>
        <v>#N/A</v>
      </c>
      <c r="E148" s="680" t="e">
        <f>+IF(C149="HL","HL","PL")</f>
        <v>#N/A</v>
      </c>
      <c r="F148" s="680" t="e">
        <f>+IF(C149="HL","HL","PL")</f>
        <v>#N/A</v>
      </c>
      <c r="G148" s="680" t="e">
        <f>+IF(C149="HL","HL","PL")</f>
        <v>#N/A</v>
      </c>
      <c r="J148" s="25"/>
    </row>
    <row r="149" spans="1:16" ht="12.75" customHeight="1" x14ac:dyDescent="0.2">
      <c r="A149" s="37" t="s">
        <v>380</v>
      </c>
      <c r="C149" s="35" t="e">
        <f>+VLOOKUP(Worksheet!$D$24,$A$30:$M$138,13,FALSE)</f>
        <v>#N/A</v>
      </c>
      <c r="D149" s="35" t="e">
        <f>+VLOOKUP(Worksheet!$D$24,$A$30:$M$138,13,FALSE)</f>
        <v>#N/A</v>
      </c>
      <c r="E149" s="35" t="e">
        <f>+VLOOKUP(Worksheet!$D$24,$A$30:$M$138,13,FALSE)</f>
        <v>#N/A</v>
      </c>
      <c r="F149" s="35" t="e">
        <f>+VLOOKUP(Worksheet!$D$24,$A$30:$M$138,13,FALSE)</f>
        <v>#N/A</v>
      </c>
      <c r="G149" s="35" t="e">
        <f>+VLOOKUP(Worksheet!$D$24,$A$30:$M$138,13,FALSE)</f>
        <v>#N/A</v>
      </c>
      <c r="J149" s="25"/>
    </row>
    <row r="150" spans="1:16" ht="12.75" customHeight="1" x14ac:dyDescent="0.2">
      <c r="A150" s="37" t="s">
        <v>195</v>
      </c>
      <c r="C150" s="401" t="s">
        <v>196</v>
      </c>
      <c r="D150" s="110" t="s">
        <v>42</v>
      </c>
      <c r="E150" s="110" t="s">
        <v>341</v>
      </c>
      <c r="F150" s="659" t="s">
        <v>197</v>
      </c>
      <c r="G150" s="659" t="s">
        <v>1419</v>
      </c>
      <c r="H150" s="659" t="s">
        <v>1420</v>
      </c>
      <c r="I150" s="668" t="s">
        <v>1450</v>
      </c>
      <c r="J150" s="108" t="s">
        <v>1663</v>
      </c>
      <c r="K150" s="108" t="s">
        <v>1664</v>
      </c>
    </row>
    <row r="151" spans="1:16" ht="12.75" customHeight="1" x14ac:dyDescent="0.2">
      <c r="A151" s="37" t="s">
        <v>58</v>
      </c>
      <c r="C151" s="402">
        <v>0.03</v>
      </c>
      <c r="D151" s="402">
        <v>0.03</v>
      </c>
      <c r="E151" s="433">
        <v>2E-3</v>
      </c>
      <c r="F151" s="660">
        <v>4.0000000000000001E-3</v>
      </c>
      <c r="G151" s="660">
        <v>-4.4999999999999997E-3</v>
      </c>
      <c r="H151" s="660">
        <v>-1.5E-3</v>
      </c>
      <c r="I151" s="660">
        <v>-5.4999999999999997E-3</v>
      </c>
      <c r="J151" s="433">
        <v>1E-3</v>
      </c>
      <c r="K151" s="433">
        <v>2E-3</v>
      </c>
    </row>
    <row r="152" spans="1:16" ht="12.75" customHeight="1" x14ac:dyDescent="0.2">
      <c r="A152" s="37" t="s">
        <v>198</v>
      </c>
      <c r="C152" s="402">
        <v>5.5E-2</v>
      </c>
      <c r="D152" s="403">
        <v>7.4999999999999997E-2</v>
      </c>
      <c r="I152" s="25"/>
    </row>
    <row r="153" spans="1:16" ht="12.75" customHeight="1" x14ac:dyDescent="0.2">
      <c r="A153" s="37" t="s">
        <v>199</v>
      </c>
      <c r="C153" s="404">
        <v>0.03</v>
      </c>
      <c r="D153" s="404">
        <v>0.04</v>
      </c>
      <c r="I153" s="25"/>
    </row>
    <row r="154" spans="1:16" ht="12.75" customHeight="1" x14ac:dyDescent="0.2">
      <c r="C154" s="107"/>
      <c r="D154" s="107"/>
      <c r="I154" s="25"/>
    </row>
    <row r="155" spans="1:16" ht="12.75" customHeight="1" x14ac:dyDescent="0.2">
      <c r="C155" s="107"/>
      <c r="D155" s="107"/>
    </row>
    <row r="156" spans="1:16" ht="12.75" customHeight="1" x14ac:dyDescent="0.2">
      <c r="D156" s="35" t="s">
        <v>61</v>
      </c>
      <c r="E156" s="35" t="s">
        <v>42</v>
      </c>
      <c r="F156" s="35" t="s">
        <v>342</v>
      </c>
      <c r="I156" s="25"/>
      <c r="P156" s="36"/>
    </row>
    <row r="157" spans="1:16" ht="12.75" customHeight="1" x14ac:dyDescent="0.2">
      <c r="A157" s="20" t="s">
        <v>201</v>
      </c>
      <c r="B157" s="20"/>
      <c r="C157" s="26" t="s">
        <v>202</v>
      </c>
      <c r="D157" s="107">
        <f>+C151</f>
        <v>0.03</v>
      </c>
      <c r="E157" s="107">
        <f>+D151</f>
        <v>0.03</v>
      </c>
      <c r="F157" s="35" t="s">
        <v>342</v>
      </c>
      <c r="I157" s="25"/>
      <c r="P157" s="36"/>
    </row>
    <row r="158" spans="1:16" ht="12.75" customHeight="1" x14ac:dyDescent="0.2">
      <c r="A158" s="25" t="s">
        <v>315</v>
      </c>
      <c r="B158" s="25" t="s">
        <v>316</v>
      </c>
      <c r="C158" s="142">
        <v>0.13739999999999999</v>
      </c>
      <c r="D158" s="107">
        <f t="shared" ref="D158:D164" si="2">+C158</f>
        <v>0.13739999999999999</v>
      </c>
      <c r="E158" s="107">
        <f>+C158</f>
        <v>0.13739999999999999</v>
      </c>
      <c r="F158" s="35" t="s">
        <v>342</v>
      </c>
      <c r="I158" s="25"/>
      <c r="P158" s="36"/>
    </row>
    <row r="159" spans="1:16" ht="12.75" customHeight="1" x14ac:dyDescent="0.2">
      <c r="A159" s="25" t="s">
        <v>319</v>
      </c>
      <c r="B159" s="25" t="s">
        <v>316</v>
      </c>
      <c r="C159" s="142">
        <v>0.13739999999999999</v>
      </c>
      <c r="D159" s="107">
        <f t="shared" si="2"/>
        <v>0.13739999999999999</v>
      </c>
      <c r="E159" s="107">
        <f t="shared" ref="E159:E164" si="3">+C159</f>
        <v>0.13739999999999999</v>
      </c>
      <c r="F159" s="35" t="s">
        <v>342</v>
      </c>
      <c r="I159" s="25"/>
      <c r="P159" s="36"/>
    </row>
    <row r="160" spans="1:16" ht="12.75" customHeight="1" x14ac:dyDescent="0.2">
      <c r="A160" s="25" t="s">
        <v>321</v>
      </c>
      <c r="B160" s="25" t="s">
        <v>322</v>
      </c>
      <c r="C160" s="142">
        <v>7.9899999999999999E-2</v>
      </c>
      <c r="D160" s="107">
        <f t="shared" si="2"/>
        <v>7.9899999999999999E-2</v>
      </c>
      <c r="E160" s="107">
        <f t="shared" si="3"/>
        <v>7.9899999999999999E-2</v>
      </c>
      <c r="F160" s="35" t="s">
        <v>342</v>
      </c>
      <c r="I160" s="25"/>
      <c r="P160" s="36"/>
    </row>
    <row r="161" spans="1:17" ht="12.75" customHeight="1" x14ac:dyDescent="0.2">
      <c r="A161" s="25" t="s">
        <v>323</v>
      </c>
      <c r="B161" s="25" t="s">
        <v>324</v>
      </c>
      <c r="C161" s="142">
        <v>5.9900000000000002E-2</v>
      </c>
      <c r="D161" s="107">
        <f t="shared" si="2"/>
        <v>5.9900000000000002E-2</v>
      </c>
      <c r="E161" s="107">
        <f t="shared" si="3"/>
        <v>5.9900000000000002E-2</v>
      </c>
      <c r="F161" s="35" t="s">
        <v>342</v>
      </c>
      <c r="I161" s="25"/>
      <c r="P161" s="36"/>
    </row>
    <row r="162" spans="1:17" ht="12.75" customHeight="1" x14ac:dyDescent="0.2">
      <c r="A162" s="25" t="s">
        <v>325</v>
      </c>
      <c r="B162" s="25" t="s">
        <v>326</v>
      </c>
      <c r="C162" s="142">
        <v>5.8900000000000001E-2</v>
      </c>
      <c r="D162" s="107">
        <f t="shared" si="2"/>
        <v>5.8900000000000001E-2</v>
      </c>
      <c r="E162" s="107">
        <f t="shared" si="3"/>
        <v>5.8900000000000001E-2</v>
      </c>
      <c r="I162" s="25"/>
      <c r="P162" s="36"/>
    </row>
    <row r="163" spans="1:17" ht="12.75" customHeight="1" x14ac:dyDescent="0.2">
      <c r="A163" s="25" t="s">
        <v>69</v>
      </c>
      <c r="B163" s="25" t="s">
        <v>327</v>
      </c>
      <c r="C163" s="142">
        <v>0.12989999999999999</v>
      </c>
      <c r="D163" s="107">
        <f t="shared" si="2"/>
        <v>0.12989999999999999</v>
      </c>
      <c r="E163" s="107">
        <f t="shared" si="3"/>
        <v>0.12989999999999999</v>
      </c>
      <c r="F163" s="35" t="s">
        <v>342</v>
      </c>
      <c r="I163" s="25"/>
      <c r="P163" s="36" t="s">
        <v>343</v>
      </c>
    </row>
    <row r="164" spans="1:17" ht="12.75" customHeight="1" x14ac:dyDescent="0.2">
      <c r="A164" s="25" t="s">
        <v>328</v>
      </c>
      <c r="B164" s="25" t="s">
        <v>329</v>
      </c>
      <c r="C164" s="142">
        <v>0.1229</v>
      </c>
      <c r="D164" s="107">
        <f t="shared" si="2"/>
        <v>0.1229</v>
      </c>
      <c r="E164" s="107">
        <f t="shared" si="3"/>
        <v>0.1229</v>
      </c>
      <c r="F164" s="35" t="s">
        <v>342</v>
      </c>
      <c r="I164" s="25"/>
    </row>
    <row r="165" spans="1:17" ht="12.75" customHeight="1" x14ac:dyDescent="0.2">
      <c r="A165" s="41" t="s">
        <v>1459</v>
      </c>
      <c r="B165" s="25" t="s">
        <v>1460</v>
      </c>
      <c r="C165" s="434">
        <v>5.9900000000000002E-2</v>
      </c>
      <c r="D165" s="107">
        <f>+MAX($C$152,P165)</f>
        <v>8.9900000000000008E-2</v>
      </c>
      <c r="E165" s="107">
        <f>+MAX($D$152,P165)</f>
        <v>8.9900000000000008E-2</v>
      </c>
      <c r="I165" s="25"/>
      <c r="P165" s="36">
        <f t="shared" ref="P165:P170" si="4">+C165+$C$151</f>
        <v>8.9900000000000008E-2</v>
      </c>
      <c r="Q165" s="36">
        <f>+D165-C165</f>
        <v>3.0000000000000006E-2</v>
      </c>
    </row>
    <row r="166" spans="1:17" ht="12.75" customHeight="1" x14ac:dyDescent="0.2">
      <c r="A166" s="41" t="s">
        <v>1461</v>
      </c>
      <c r="B166" s="25" t="s">
        <v>1462</v>
      </c>
      <c r="C166" s="434">
        <v>6.1899999999999997E-2</v>
      </c>
      <c r="D166" s="107">
        <f>+MAX($D$152,P166)</f>
        <v>9.1899999999999996E-2</v>
      </c>
      <c r="E166" s="107">
        <f>+MAX($D$152,P166)</f>
        <v>9.1899999999999996E-2</v>
      </c>
      <c r="I166" s="25"/>
      <c r="P166" s="36">
        <f t="shared" si="4"/>
        <v>9.1899999999999996E-2</v>
      </c>
      <c r="Q166" s="36">
        <f>+D166-C166</f>
        <v>0.03</v>
      </c>
    </row>
    <row r="167" spans="1:17" ht="12.75" customHeight="1" x14ac:dyDescent="0.2">
      <c r="A167" s="41" t="s">
        <v>1463</v>
      </c>
      <c r="B167" s="25" t="s">
        <v>1464</v>
      </c>
      <c r="C167" s="434">
        <v>6.2899999999999998E-2</v>
      </c>
      <c r="D167" s="107">
        <f>+MAX($D$152,P167)</f>
        <v>9.2899999999999996E-2</v>
      </c>
      <c r="E167" s="107">
        <f>+MAX($D$152,P167)</f>
        <v>9.2899999999999996E-2</v>
      </c>
      <c r="I167" s="25"/>
      <c r="P167" s="36">
        <f t="shared" si="4"/>
        <v>9.2899999999999996E-2</v>
      </c>
      <c r="Q167" s="36">
        <f t="shared" ref="Q167:Q230" si="5">+D167-C167</f>
        <v>0.03</v>
      </c>
    </row>
    <row r="168" spans="1:17" ht="12.75" customHeight="1" x14ac:dyDescent="0.2">
      <c r="A168" s="41" t="s">
        <v>1465</v>
      </c>
      <c r="B168" s="25" t="s">
        <v>1466</v>
      </c>
      <c r="C168" s="758">
        <f>C165</f>
        <v>5.9900000000000002E-2</v>
      </c>
      <c r="D168" s="107">
        <f t="shared" ref="D168:D231" si="6">+MAX($C$152,P168)</f>
        <v>8.9900000000000008E-2</v>
      </c>
      <c r="E168" s="107">
        <f t="shared" ref="E168:E169" si="7">+MAX($D$152,P168)</f>
        <v>8.9900000000000008E-2</v>
      </c>
      <c r="F168" s="35" t="s">
        <v>206</v>
      </c>
      <c r="I168" s="25"/>
      <c r="P168" s="36">
        <f t="shared" si="4"/>
        <v>8.9900000000000008E-2</v>
      </c>
      <c r="Q168" s="36">
        <f t="shared" si="5"/>
        <v>3.0000000000000006E-2</v>
      </c>
    </row>
    <row r="169" spans="1:17" ht="12.75" customHeight="1" x14ac:dyDescent="0.2">
      <c r="A169" s="41" t="s">
        <v>1467</v>
      </c>
      <c r="B169" s="25" t="s">
        <v>1468</v>
      </c>
      <c r="C169" s="758">
        <f>C166</f>
        <v>6.1899999999999997E-2</v>
      </c>
      <c r="D169" s="107">
        <f>+MAX($D$152,P169)</f>
        <v>9.1899999999999996E-2</v>
      </c>
      <c r="E169" s="107">
        <f t="shared" si="7"/>
        <v>9.1899999999999996E-2</v>
      </c>
      <c r="F169" s="35" t="s">
        <v>206</v>
      </c>
      <c r="I169" s="25"/>
      <c r="P169" s="36">
        <f t="shared" si="4"/>
        <v>9.1899999999999996E-2</v>
      </c>
      <c r="Q169" s="36">
        <f t="shared" si="5"/>
        <v>0.03</v>
      </c>
    </row>
    <row r="170" spans="1:17" ht="12.75" customHeight="1" x14ac:dyDescent="0.2">
      <c r="A170" s="41" t="s">
        <v>1469</v>
      </c>
      <c r="B170" s="25" t="s">
        <v>1470</v>
      </c>
      <c r="C170" s="758">
        <f>C167</f>
        <v>6.2899999999999998E-2</v>
      </c>
      <c r="D170" s="107">
        <f>+MAX($D$152,P170)</f>
        <v>9.2899999999999996E-2</v>
      </c>
      <c r="E170" s="107">
        <f>+MAX($D$152,P170)</f>
        <v>9.2899999999999996E-2</v>
      </c>
      <c r="F170" s="35" t="s">
        <v>206</v>
      </c>
      <c r="I170" s="25"/>
      <c r="K170" s="757" t="s">
        <v>1665</v>
      </c>
      <c r="L170" s="757"/>
      <c r="M170" s="757"/>
      <c r="P170" s="36">
        <f t="shared" si="4"/>
        <v>9.2899999999999996E-2</v>
      </c>
      <c r="Q170" s="36">
        <f t="shared" si="5"/>
        <v>0.03</v>
      </c>
    </row>
    <row r="171" spans="1:17" ht="12.75" customHeight="1" x14ac:dyDescent="0.2">
      <c r="A171" s="41" t="s">
        <v>1471</v>
      </c>
      <c r="B171" s="25" t="s">
        <v>1472</v>
      </c>
      <c r="C171" s="434">
        <v>6.2899999999999998E-2</v>
      </c>
      <c r="D171" s="107">
        <f t="shared" ref="D171:D173" si="8">+MAX($C$152,P171)</f>
        <v>8.9900000000000008E-2</v>
      </c>
      <c r="E171" s="107">
        <f t="shared" ref="E171:E172" si="9">+MAX($D$152,P171)</f>
        <v>8.9900000000000008E-2</v>
      </c>
      <c r="I171" s="25"/>
      <c r="P171" s="700">
        <f>+C176+$C$151</f>
        <v>8.9900000000000008E-2</v>
      </c>
      <c r="Q171" s="36">
        <f t="shared" si="5"/>
        <v>2.700000000000001E-2</v>
      </c>
    </row>
    <row r="172" spans="1:17" ht="12.75" customHeight="1" x14ac:dyDescent="0.2">
      <c r="A172" s="41" t="s">
        <v>1473</v>
      </c>
      <c r="B172" s="25" t="s">
        <v>1474</v>
      </c>
      <c r="C172" s="758">
        <f>C171</f>
        <v>6.2899999999999998E-2</v>
      </c>
      <c r="D172" s="107">
        <f t="shared" si="8"/>
        <v>8.9900000000000008E-2</v>
      </c>
      <c r="E172" s="107">
        <f t="shared" si="9"/>
        <v>8.9900000000000008E-2</v>
      </c>
      <c r="F172" s="35" t="s">
        <v>206</v>
      </c>
      <c r="I172" s="25"/>
      <c r="P172" s="700">
        <f>+C176+$C$151</f>
        <v>8.9900000000000008E-2</v>
      </c>
      <c r="Q172" s="36">
        <f t="shared" si="5"/>
        <v>2.700000000000001E-2</v>
      </c>
    </row>
    <row r="173" spans="1:17" ht="12.75" customHeight="1" x14ac:dyDescent="0.2">
      <c r="A173" s="41" t="s">
        <v>1475</v>
      </c>
      <c r="B173" s="25" t="s">
        <v>1476</v>
      </c>
      <c r="C173" s="434">
        <v>6.2899999999999998E-2</v>
      </c>
      <c r="D173" s="107">
        <f t="shared" si="8"/>
        <v>8.9900000000000008E-2</v>
      </c>
      <c r="E173" s="107">
        <f>+MAX($D$152,P173)</f>
        <v>8.9900000000000008E-2</v>
      </c>
      <c r="I173" s="25"/>
      <c r="P173" s="700">
        <f>+C176+$C$151</f>
        <v>8.9900000000000008E-2</v>
      </c>
      <c r="Q173" s="36">
        <f t="shared" si="5"/>
        <v>2.700000000000001E-2</v>
      </c>
    </row>
    <row r="174" spans="1:17" ht="12.75" customHeight="1" x14ac:dyDescent="0.2">
      <c r="A174" s="41" t="s">
        <v>1477</v>
      </c>
      <c r="B174" s="25" t="s">
        <v>1478</v>
      </c>
      <c r="C174" s="434">
        <v>6.2399999999999997E-2</v>
      </c>
      <c r="D174" s="107">
        <f t="shared" si="6"/>
        <v>8.9900000000000008E-2</v>
      </c>
      <c r="E174" s="107">
        <f t="shared" ref="E174:E175" si="10">+MAX($D$152,P174)</f>
        <v>8.9900000000000008E-2</v>
      </c>
      <c r="I174" s="25"/>
      <c r="P174" s="700">
        <f>+C176+$C$151</f>
        <v>8.9900000000000008E-2</v>
      </c>
      <c r="Q174" s="36">
        <f t="shared" si="5"/>
        <v>2.7500000000000011E-2</v>
      </c>
    </row>
    <row r="175" spans="1:17" ht="12.75" customHeight="1" x14ac:dyDescent="0.2">
      <c r="A175" s="41" t="s">
        <v>1479</v>
      </c>
      <c r="B175" s="25" t="s">
        <v>1480</v>
      </c>
      <c r="C175" s="434">
        <v>6.4399999999999999E-2</v>
      </c>
      <c r="D175" s="107">
        <f t="shared" si="6"/>
        <v>8.9900000000000008E-2</v>
      </c>
      <c r="E175" s="107">
        <f t="shared" si="10"/>
        <v>8.9900000000000008E-2</v>
      </c>
      <c r="I175" s="25"/>
      <c r="P175" s="700">
        <f>+C176+$C$151</f>
        <v>8.9900000000000008E-2</v>
      </c>
      <c r="Q175" s="36">
        <f t="shared" si="5"/>
        <v>2.5500000000000009E-2</v>
      </c>
    </row>
    <row r="176" spans="1:17" ht="12.75" customHeight="1" x14ac:dyDescent="0.2">
      <c r="A176" s="41" t="s">
        <v>1481</v>
      </c>
      <c r="B176" s="25" t="s">
        <v>1482</v>
      </c>
      <c r="C176" s="758">
        <f>C165</f>
        <v>5.9900000000000002E-2</v>
      </c>
      <c r="D176" s="107">
        <f t="shared" si="6"/>
        <v>8.9900000000000008E-2</v>
      </c>
      <c r="E176" s="107">
        <f>+MAX($D$152,P176)</f>
        <v>8.9900000000000008E-2</v>
      </c>
      <c r="I176" s="25"/>
      <c r="P176" s="700">
        <f>+C176+$C$151</f>
        <v>8.9900000000000008E-2</v>
      </c>
      <c r="Q176" s="36">
        <f t="shared" si="5"/>
        <v>3.0000000000000006E-2</v>
      </c>
    </row>
    <row r="177" spans="1:17" ht="12.75" customHeight="1" x14ac:dyDescent="0.2">
      <c r="A177" s="41" t="s">
        <v>1483</v>
      </c>
      <c r="B177" s="25" t="s">
        <v>1484</v>
      </c>
      <c r="C177" s="434">
        <v>6.1400000000000003E-2</v>
      </c>
      <c r="D177" s="107">
        <f t="shared" si="6"/>
        <v>9.1400000000000009E-2</v>
      </c>
      <c r="E177" s="107">
        <f t="shared" ref="E177:E178" si="11">+MAX($D$152,P177)</f>
        <v>9.1400000000000009E-2</v>
      </c>
      <c r="I177" s="25"/>
      <c r="P177" s="36">
        <f>+C177+$C$151</f>
        <v>9.1400000000000009E-2</v>
      </c>
      <c r="Q177" s="36">
        <f t="shared" si="5"/>
        <v>3.0000000000000006E-2</v>
      </c>
    </row>
    <row r="178" spans="1:17" ht="12.75" customHeight="1" x14ac:dyDescent="0.2">
      <c r="A178" s="41" t="s">
        <v>1485</v>
      </c>
      <c r="B178" s="25" t="s">
        <v>1486</v>
      </c>
      <c r="C178" s="434">
        <v>6.2899999999999998E-2</v>
      </c>
      <c r="D178" s="107">
        <f>+MAX($D$152,P178)</f>
        <v>9.2899999999999996E-2</v>
      </c>
      <c r="E178" s="107">
        <f t="shared" si="11"/>
        <v>9.2899999999999996E-2</v>
      </c>
      <c r="I178" s="25"/>
      <c r="P178" s="36">
        <f>+C178+$C$151</f>
        <v>9.2899999999999996E-2</v>
      </c>
      <c r="Q178" s="36">
        <f t="shared" si="5"/>
        <v>0.03</v>
      </c>
    </row>
    <row r="179" spans="1:17" ht="12.75" customHeight="1" x14ac:dyDescent="0.2">
      <c r="A179" s="41" t="s">
        <v>1487</v>
      </c>
      <c r="B179" s="25" t="s">
        <v>1488</v>
      </c>
      <c r="C179" s="758">
        <f>C177+E151</f>
        <v>6.3399999999999998E-2</v>
      </c>
      <c r="D179" s="107">
        <f t="shared" si="6"/>
        <v>9.1399999999999995E-2</v>
      </c>
      <c r="E179" s="107">
        <f>+MAX($D$152,P179)</f>
        <v>9.1399999999999995E-2</v>
      </c>
      <c r="F179" s="35" t="s">
        <v>206</v>
      </c>
      <c r="I179" s="25"/>
      <c r="P179" s="36">
        <f>+(C179-0.2%)+$C$151</f>
        <v>9.1399999999999995E-2</v>
      </c>
      <c r="Q179" s="36">
        <f t="shared" si="5"/>
        <v>2.7999999999999997E-2</v>
      </c>
    </row>
    <row r="180" spans="1:17" ht="12.75" customHeight="1" x14ac:dyDescent="0.2">
      <c r="A180" s="41" t="s">
        <v>1489</v>
      </c>
      <c r="B180" s="25" t="s">
        <v>1490</v>
      </c>
      <c r="C180" s="758">
        <f>C178+E151</f>
        <v>6.4899999999999999E-2</v>
      </c>
      <c r="D180" s="107">
        <f>+MAX($D$152,P180)</f>
        <v>9.2899999999999996E-2</v>
      </c>
      <c r="E180" s="107">
        <f t="shared" ref="E180:E181" si="12">+MAX($D$152,P180)</f>
        <v>9.2899999999999996E-2</v>
      </c>
      <c r="F180" s="35" t="s">
        <v>206</v>
      </c>
      <c r="I180" s="25"/>
      <c r="P180" s="36">
        <f>+(C180-0.2%)+$C$151</f>
        <v>9.2899999999999996E-2</v>
      </c>
      <c r="Q180" s="36">
        <f t="shared" si="5"/>
        <v>2.7999999999999997E-2</v>
      </c>
    </row>
    <row r="181" spans="1:17" ht="12.75" customHeight="1" x14ac:dyDescent="0.2">
      <c r="A181" s="41" t="s">
        <v>1491</v>
      </c>
      <c r="B181" s="25" t="s">
        <v>1492</v>
      </c>
      <c r="C181" s="434">
        <v>6.4399999999999999E-2</v>
      </c>
      <c r="D181" s="107">
        <f t="shared" si="6"/>
        <v>9.1400000000000009E-2</v>
      </c>
      <c r="E181" s="107">
        <f t="shared" si="12"/>
        <v>9.1400000000000009E-2</v>
      </c>
      <c r="I181" s="25"/>
      <c r="P181" s="700">
        <f>+C189+$C$151</f>
        <v>9.1400000000000009E-2</v>
      </c>
      <c r="Q181" s="36">
        <f t="shared" si="5"/>
        <v>2.700000000000001E-2</v>
      </c>
    </row>
    <row r="182" spans="1:17" ht="12.75" customHeight="1" x14ac:dyDescent="0.2">
      <c r="A182" s="41" t="s">
        <v>1493</v>
      </c>
      <c r="B182" s="25" t="s">
        <v>1494</v>
      </c>
      <c r="C182" s="434">
        <v>6.4399999999999999E-2</v>
      </c>
      <c r="D182" s="107">
        <f t="shared" si="6"/>
        <v>9.1400000000000009E-2</v>
      </c>
      <c r="E182" s="107">
        <f>+MAX($D$152,P182)</f>
        <v>9.1400000000000009E-2</v>
      </c>
      <c r="I182" s="25"/>
      <c r="P182" s="700">
        <f>+C189+$C$151</f>
        <v>9.1400000000000009E-2</v>
      </c>
      <c r="Q182" s="36">
        <f t="shared" si="5"/>
        <v>2.700000000000001E-2</v>
      </c>
    </row>
    <row r="183" spans="1:17" ht="12.75" customHeight="1" x14ac:dyDescent="0.2">
      <c r="A183" s="41" t="s">
        <v>1495</v>
      </c>
      <c r="B183" s="25" t="s">
        <v>1496</v>
      </c>
      <c r="C183" s="434">
        <v>6.3899999999999998E-2</v>
      </c>
      <c r="D183" s="107">
        <f t="shared" si="6"/>
        <v>9.1400000000000009E-2</v>
      </c>
      <c r="E183" s="107">
        <f t="shared" ref="E183:E184" si="13">+MAX($D$152,P183)</f>
        <v>9.1400000000000009E-2</v>
      </c>
      <c r="I183" s="25"/>
      <c r="P183" s="700">
        <f>+C189+$C$151</f>
        <v>9.1400000000000009E-2</v>
      </c>
      <c r="Q183" s="36">
        <f t="shared" si="5"/>
        <v>2.7500000000000011E-2</v>
      </c>
    </row>
    <row r="184" spans="1:17" ht="12.75" customHeight="1" x14ac:dyDescent="0.2">
      <c r="A184" s="41" t="s">
        <v>1497</v>
      </c>
      <c r="B184" s="25" t="s">
        <v>1498</v>
      </c>
      <c r="C184" s="434">
        <v>6.59E-2</v>
      </c>
      <c r="D184" s="107">
        <f t="shared" si="6"/>
        <v>9.1400000000000009E-2</v>
      </c>
      <c r="E184" s="107">
        <f t="shared" si="13"/>
        <v>9.1400000000000009E-2</v>
      </c>
      <c r="I184" s="25"/>
      <c r="P184" s="700">
        <f>+C189+$C$151</f>
        <v>9.1400000000000009E-2</v>
      </c>
      <c r="Q184" s="36">
        <f t="shared" si="5"/>
        <v>2.5500000000000009E-2</v>
      </c>
    </row>
    <row r="185" spans="1:17" ht="12.75" customHeight="1" x14ac:dyDescent="0.2">
      <c r="A185" s="41" t="s">
        <v>1499</v>
      </c>
      <c r="B185" s="25" t="s">
        <v>1500</v>
      </c>
      <c r="C185" s="758">
        <f>C181+E151</f>
        <v>6.6400000000000001E-2</v>
      </c>
      <c r="D185" s="107">
        <f t="shared" si="6"/>
        <v>9.1400000000000009E-2</v>
      </c>
      <c r="E185" s="107">
        <f>+MAX($D$152,P185)</f>
        <v>9.1400000000000009E-2</v>
      </c>
      <c r="F185" s="35" t="s">
        <v>206</v>
      </c>
      <c r="I185" s="25"/>
      <c r="P185" s="700">
        <f>+C189+$C$151</f>
        <v>9.1400000000000009E-2</v>
      </c>
      <c r="Q185" s="36">
        <f t="shared" si="5"/>
        <v>2.5000000000000008E-2</v>
      </c>
    </row>
    <row r="186" spans="1:17" ht="12.75" customHeight="1" x14ac:dyDescent="0.2">
      <c r="A186" s="41" t="s">
        <v>1501</v>
      </c>
      <c r="B186" s="25" t="s">
        <v>1502</v>
      </c>
      <c r="C186" s="758">
        <f>C182+E151</f>
        <v>6.6400000000000001E-2</v>
      </c>
      <c r="D186" s="107">
        <f t="shared" si="6"/>
        <v>9.1400000000000009E-2</v>
      </c>
      <c r="E186" s="107">
        <f t="shared" ref="E186:E187" si="14">+MAX($D$152,P186)</f>
        <v>9.1400000000000009E-2</v>
      </c>
      <c r="F186" s="35" t="s">
        <v>206</v>
      </c>
      <c r="I186" s="25"/>
      <c r="P186" s="700">
        <f>+C189+$C$151</f>
        <v>9.1400000000000009E-2</v>
      </c>
      <c r="Q186" s="36">
        <f t="shared" si="5"/>
        <v>2.5000000000000008E-2</v>
      </c>
    </row>
    <row r="187" spans="1:17" ht="12.75" customHeight="1" x14ac:dyDescent="0.2">
      <c r="A187" s="41" t="s">
        <v>1503</v>
      </c>
      <c r="B187" s="25" t="s">
        <v>1504</v>
      </c>
      <c r="C187" s="758">
        <f>C183+E151</f>
        <v>6.59E-2</v>
      </c>
      <c r="D187" s="107">
        <f t="shared" si="6"/>
        <v>9.1400000000000009E-2</v>
      </c>
      <c r="E187" s="107">
        <f t="shared" si="14"/>
        <v>9.1400000000000009E-2</v>
      </c>
      <c r="F187" s="35" t="s">
        <v>206</v>
      </c>
      <c r="I187" s="25"/>
      <c r="P187" s="700">
        <f>+C189+$C$151</f>
        <v>9.1400000000000009E-2</v>
      </c>
      <c r="Q187" s="36">
        <f t="shared" si="5"/>
        <v>2.5500000000000009E-2</v>
      </c>
    </row>
    <row r="188" spans="1:17" ht="12.75" customHeight="1" x14ac:dyDescent="0.2">
      <c r="A188" s="41" t="s">
        <v>1505</v>
      </c>
      <c r="B188" s="25" t="s">
        <v>1506</v>
      </c>
      <c r="C188" s="758">
        <f>C184+E151</f>
        <v>6.7900000000000002E-2</v>
      </c>
      <c r="D188" s="107">
        <f t="shared" si="6"/>
        <v>9.1400000000000009E-2</v>
      </c>
      <c r="E188" s="107">
        <f>+MAX($D$152,P188)</f>
        <v>9.1400000000000009E-2</v>
      </c>
      <c r="F188" s="35" t="s">
        <v>206</v>
      </c>
      <c r="I188" s="25"/>
      <c r="P188" s="700">
        <f>+C189+$C$151</f>
        <v>9.1400000000000009E-2</v>
      </c>
      <c r="Q188" s="36">
        <f t="shared" si="5"/>
        <v>2.3500000000000007E-2</v>
      </c>
    </row>
    <row r="189" spans="1:17" ht="12.75" customHeight="1" x14ac:dyDescent="0.2">
      <c r="A189" s="41" t="s">
        <v>1507</v>
      </c>
      <c r="B189" s="25" t="s">
        <v>1508</v>
      </c>
      <c r="C189" s="758">
        <f>C177</f>
        <v>6.1400000000000003E-2</v>
      </c>
      <c r="D189" s="107">
        <f t="shared" si="6"/>
        <v>9.1400000000000009E-2</v>
      </c>
      <c r="E189" s="107">
        <f t="shared" ref="E189:E190" si="15">+MAX($D$152,P189)</f>
        <v>9.1400000000000009E-2</v>
      </c>
      <c r="I189" s="25"/>
      <c r="P189" s="36">
        <f t="shared" ref="P189:P238" si="16">+C189+$C$151</f>
        <v>9.1400000000000009E-2</v>
      </c>
      <c r="Q189" s="36">
        <f t="shared" si="5"/>
        <v>3.0000000000000006E-2</v>
      </c>
    </row>
    <row r="190" spans="1:17" ht="12.75" customHeight="1" x14ac:dyDescent="0.2">
      <c r="A190" s="41" t="s">
        <v>1509</v>
      </c>
      <c r="B190" s="25" t="s">
        <v>1510</v>
      </c>
      <c r="C190" s="758">
        <f>C165+J151</f>
        <v>6.0900000000000003E-2</v>
      </c>
      <c r="D190" s="107">
        <f t="shared" si="6"/>
        <v>9.0900000000000009E-2</v>
      </c>
      <c r="E190" s="107">
        <f t="shared" si="15"/>
        <v>9.0900000000000009E-2</v>
      </c>
      <c r="I190" s="25"/>
      <c r="P190" s="36">
        <f t="shared" si="16"/>
        <v>9.0900000000000009E-2</v>
      </c>
      <c r="Q190" s="36">
        <f t="shared" si="5"/>
        <v>3.0000000000000006E-2</v>
      </c>
    </row>
    <row r="191" spans="1:17" ht="12.75" customHeight="1" x14ac:dyDescent="0.2">
      <c r="A191" s="41" t="s">
        <v>1511</v>
      </c>
      <c r="B191" s="25" t="s">
        <v>1512</v>
      </c>
      <c r="C191" s="758">
        <f>C166+J151</f>
        <v>6.2899999999999998E-2</v>
      </c>
      <c r="D191" s="107">
        <f>+MAX($D$152,P191)</f>
        <v>9.2899999999999996E-2</v>
      </c>
      <c r="E191" s="107">
        <f>+MAX($D$152,P191)</f>
        <v>9.2899999999999996E-2</v>
      </c>
      <c r="I191" s="25"/>
      <c r="P191" s="36">
        <f t="shared" si="16"/>
        <v>9.2899999999999996E-2</v>
      </c>
      <c r="Q191" s="36">
        <f t="shared" si="5"/>
        <v>0.03</v>
      </c>
    </row>
    <row r="192" spans="1:17" ht="12.75" customHeight="1" x14ac:dyDescent="0.2">
      <c r="A192" s="41" t="s">
        <v>1513</v>
      </c>
      <c r="B192" s="25" t="s">
        <v>1514</v>
      </c>
      <c r="C192" s="758">
        <f>C167+J151</f>
        <v>6.3899999999999998E-2</v>
      </c>
      <c r="D192" s="107">
        <f>+MAX($D$152,P192)</f>
        <v>9.3899999999999997E-2</v>
      </c>
      <c r="E192" s="107">
        <f t="shared" ref="E192:E193" si="17">+MAX($D$152,P192)</f>
        <v>9.3899999999999997E-2</v>
      </c>
      <c r="I192" s="25"/>
      <c r="P192" s="36">
        <f t="shared" si="16"/>
        <v>9.3899999999999997E-2</v>
      </c>
      <c r="Q192" s="36">
        <f t="shared" si="5"/>
        <v>0.03</v>
      </c>
    </row>
    <row r="193" spans="1:17" ht="12.75" customHeight="1" x14ac:dyDescent="0.2">
      <c r="A193" s="41" t="s">
        <v>1515</v>
      </c>
      <c r="B193" s="25" t="s">
        <v>1516</v>
      </c>
      <c r="C193" s="758">
        <f>C190</f>
        <v>6.0900000000000003E-2</v>
      </c>
      <c r="D193" s="107">
        <f t="shared" si="6"/>
        <v>9.0900000000000009E-2</v>
      </c>
      <c r="E193" s="107">
        <f t="shared" si="17"/>
        <v>9.0900000000000009E-2</v>
      </c>
      <c r="F193" s="35" t="s">
        <v>206</v>
      </c>
      <c r="I193" s="25"/>
      <c r="P193" s="36">
        <f t="shared" si="16"/>
        <v>9.0900000000000009E-2</v>
      </c>
      <c r="Q193" s="36">
        <f t="shared" si="5"/>
        <v>3.0000000000000006E-2</v>
      </c>
    </row>
    <row r="194" spans="1:17" ht="12.75" customHeight="1" x14ac:dyDescent="0.2">
      <c r="A194" s="41" t="s">
        <v>1517</v>
      </c>
      <c r="B194" s="25" t="s">
        <v>1518</v>
      </c>
      <c r="C194" s="758">
        <f>C191</f>
        <v>6.2899999999999998E-2</v>
      </c>
      <c r="D194" s="107">
        <f>+MAX($D$152,P194)</f>
        <v>9.2899999999999996E-2</v>
      </c>
      <c r="E194" s="107">
        <f>+MAX($D$152,P194)</f>
        <v>9.2899999999999996E-2</v>
      </c>
      <c r="F194" s="35" t="s">
        <v>206</v>
      </c>
      <c r="I194" s="25"/>
      <c r="P194" s="36">
        <f t="shared" si="16"/>
        <v>9.2899999999999996E-2</v>
      </c>
      <c r="Q194" s="36">
        <f t="shared" si="5"/>
        <v>0.03</v>
      </c>
    </row>
    <row r="195" spans="1:17" ht="12.75" customHeight="1" x14ac:dyDescent="0.2">
      <c r="A195" s="41" t="s">
        <v>1519</v>
      </c>
      <c r="B195" s="25" t="s">
        <v>1520</v>
      </c>
      <c r="C195" s="758">
        <f>C192</f>
        <v>6.3899999999999998E-2</v>
      </c>
      <c r="D195" s="107">
        <f>+MAX($D$152,P195)</f>
        <v>9.3899999999999997E-2</v>
      </c>
      <c r="E195" s="107">
        <f t="shared" ref="E195:E196" si="18">+MAX($D$152,P195)</f>
        <v>9.3899999999999997E-2</v>
      </c>
      <c r="F195" s="35" t="s">
        <v>206</v>
      </c>
      <c r="I195" s="25"/>
      <c r="P195" s="36">
        <f t="shared" si="16"/>
        <v>9.3899999999999997E-2</v>
      </c>
      <c r="Q195" s="36">
        <f t="shared" si="5"/>
        <v>0.03</v>
      </c>
    </row>
    <row r="196" spans="1:17" ht="12.75" customHeight="1" x14ac:dyDescent="0.2">
      <c r="A196" s="41" t="s">
        <v>1521</v>
      </c>
      <c r="B196" s="25" t="s">
        <v>1522</v>
      </c>
      <c r="C196" s="758">
        <f>C171+J151</f>
        <v>6.3899999999999998E-2</v>
      </c>
      <c r="D196" s="107">
        <f t="shared" si="6"/>
        <v>9.0900000000000009E-2</v>
      </c>
      <c r="E196" s="107">
        <f t="shared" si="18"/>
        <v>9.0900000000000009E-2</v>
      </c>
      <c r="I196" s="25"/>
      <c r="P196" s="700">
        <f>+C200+$C$151</f>
        <v>9.0900000000000009E-2</v>
      </c>
      <c r="Q196" s="36">
        <f t="shared" si="5"/>
        <v>2.700000000000001E-2</v>
      </c>
    </row>
    <row r="197" spans="1:17" ht="12.75" customHeight="1" x14ac:dyDescent="0.2">
      <c r="A197" s="41" t="s">
        <v>1523</v>
      </c>
      <c r="B197" s="25" t="s">
        <v>1524</v>
      </c>
      <c r="C197" s="758">
        <f>C173+J151</f>
        <v>6.3899999999999998E-2</v>
      </c>
      <c r="D197" s="107">
        <f t="shared" si="6"/>
        <v>9.0900000000000009E-2</v>
      </c>
      <c r="E197" s="107">
        <f>+MAX($D$152,P197)</f>
        <v>9.0900000000000009E-2</v>
      </c>
      <c r="I197" s="25"/>
      <c r="P197" s="700">
        <f>+C200+$C$151</f>
        <v>9.0900000000000009E-2</v>
      </c>
      <c r="Q197" s="36">
        <f t="shared" si="5"/>
        <v>2.700000000000001E-2</v>
      </c>
    </row>
    <row r="198" spans="1:17" ht="12.75" customHeight="1" x14ac:dyDescent="0.2">
      <c r="A198" s="41" t="s">
        <v>1525</v>
      </c>
      <c r="B198" s="25" t="s">
        <v>1526</v>
      </c>
      <c r="C198" s="758">
        <f>C174+J151</f>
        <v>6.3399999999999998E-2</v>
      </c>
      <c r="D198" s="107">
        <f t="shared" si="6"/>
        <v>9.0900000000000009E-2</v>
      </c>
      <c r="E198" s="107">
        <f t="shared" ref="E198:E199" si="19">+MAX($D$152,P198)</f>
        <v>9.0900000000000009E-2</v>
      </c>
      <c r="I198" s="25"/>
      <c r="P198" s="700">
        <f>+C200+$C$151</f>
        <v>9.0900000000000009E-2</v>
      </c>
      <c r="Q198" s="36">
        <f t="shared" si="5"/>
        <v>2.7500000000000011E-2</v>
      </c>
    </row>
    <row r="199" spans="1:17" ht="12.75" customHeight="1" x14ac:dyDescent="0.2">
      <c r="A199" s="41" t="s">
        <v>1527</v>
      </c>
      <c r="B199" s="25" t="s">
        <v>1528</v>
      </c>
      <c r="C199" s="758">
        <f>C175+J151</f>
        <v>6.54E-2</v>
      </c>
      <c r="D199" s="107">
        <f t="shared" si="6"/>
        <v>9.0900000000000009E-2</v>
      </c>
      <c r="E199" s="107">
        <f t="shared" si="19"/>
        <v>9.0900000000000009E-2</v>
      </c>
      <c r="I199" s="25"/>
      <c r="P199" s="700">
        <f>+C200+$C$151</f>
        <v>9.0900000000000009E-2</v>
      </c>
      <c r="Q199" s="36">
        <f t="shared" si="5"/>
        <v>2.5500000000000009E-2</v>
      </c>
    </row>
    <row r="200" spans="1:17" ht="12.75" customHeight="1" x14ac:dyDescent="0.2">
      <c r="A200" s="41" t="s">
        <v>1529</v>
      </c>
      <c r="B200" s="25" t="s">
        <v>1530</v>
      </c>
      <c r="C200" s="758">
        <f>C190</f>
        <v>6.0900000000000003E-2</v>
      </c>
      <c r="D200" s="107">
        <f t="shared" si="6"/>
        <v>9.0900000000000009E-2</v>
      </c>
      <c r="E200" s="107">
        <f>+MAX($D$152,P200)</f>
        <v>9.0900000000000009E-2</v>
      </c>
      <c r="I200" s="25"/>
      <c r="P200" s="36">
        <f t="shared" si="16"/>
        <v>9.0900000000000009E-2</v>
      </c>
      <c r="Q200" s="36">
        <f t="shared" si="5"/>
        <v>3.0000000000000006E-2</v>
      </c>
    </row>
    <row r="201" spans="1:17" ht="12.75" customHeight="1" x14ac:dyDescent="0.2">
      <c r="A201" s="41" t="s">
        <v>1531</v>
      </c>
      <c r="B201" s="25" t="s">
        <v>1532</v>
      </c>
      <c r="C201" s="758">
        <f>C177+J151</f>
        <v>6.2400000000000004E-2</v>
      </c>
      <c r="D201" s="107">
        <f t="shared" si="6"/>
        <v>9.240000000000001E-2</v>
      </c>
      <c r="E201" s="107">
        <f t="shared" ref="E201:E202" si="20">+MAX($D$152,P201)</f>
        <v>9.240000000000001E-2</v>
      </c>
      <c r="I201" s="25"/>
      <c r="P201" s="36">
        <f t="shared" si="16"/>
        <v>9.240000000000001E-2</v>
      </c>
      <c r="Q201" s="36">
        <f t="shared" si="5"/>
        <v>3.0000000000000006E-2</v>
      </c>
    </row>
    <row r="202" spans="1:17" ht="12.75" customHeight="1" x14ac:dyDescent="0.2">
      <c r="A202" s="41" t="s">
        <v>1533</v>
      </c>
      <c r="B202" s="25" t="s">
        <v>1534</v>
      </c>
      <c r="C202" s="758">
        <f>C178+J151</f>
        <v>6.3899999999999998E-2</v>
      </c>
      <c r="D202" s="107">
        <f>+MAX($D$152,P202)</f>
        <v>9.3899999999999997E-2</v>
      </c>
      <c r="E202" s="107">
        <f t="shared" si="20"/>
        <v>9.3899999999999997E-2</v>
      </c>
      <c r="I202" s="25"/>
      <c r="P202" s="36">
        <f t="shared" si="16"/>
        <v>9.3899999999999997E-2</v>
      </c>
      <c r="Q202" s="36">
        <f t="shared" si="5"/>
        <v>0.03</v>
      </c>
    </row>
    <row r="203" spans="1:17" ht="12.75" customHeight="1" x14ac:dyDescent="0.2">
      <c r="A203" s="41" t="s">
        <v>1535</v>
      </c>
      <c r="B203" s="25" t="s">
        <v>1536</v>
      </c>
      <c r="C203" s="758">
        <f>C179+J151</f>
        <v>6.4399999999999999E-2</v>
      </c>
      <c r="D203" s="107">
        <f t="shared" si="6"/>
        <v>9.2399999999999996E-2</v>
      </c>
      <c r="E203" s="107">
        <f>+MAX($D$152,P203)</f>
        <v>9.2399999999999996E-2</v>
      </c>
      <c r="F203" s="35" t="s">
        <v>206</v>
      </c>
      <c r="I203" s="25"/>
      <c r="P203" s="36">
        <f>+(C203-0.2%)+$C$151</f>
        <v>9.2399999999999996E-2</v>
      </c>
      <c r="Q203" s="36">
        <f t="shared" si="5"/>
        <v>2.7999999999999997E-2</v>
      </c>
    </row>
    <row r="204" spans="1:17" ht="12.75" customHeight="1" x14ac:dyDescent="0.2">
      <c r="A204" s="41" t="s">
        <v>1537</v>
      </c>
      <c r="B204" s="25" t="s">
        <v>1538</v>
      </c>
      <c r="C204" s="758">
        <f>C180+J151</f>
        <v>6.59E-2</v>
      </c>
      <c r="D204" s="107">
        <f>+MAX($D$152,P204)</f>
        <v>9.3899999999999997E-2</v>
      </c>
      <c r="E204" s="107">
        <f t="shared" ref="E204:E205" si="21">+MAX($D$152,P204)</f>
        <v>9.3899999999999997E-2</v>
      </c>
      <c r="F204" s="35" t="s">
        <v>206</v>
      </c>
      <c r="I204" s="25"/>
      <c r="P204" s="36">
        <f>+(C204-0.2%)+$C$151</f>
        <v>9.3899999999999997E-2</v>
      </c>
      <c r="Q204" s="36">
        <f t="shared" si="5"/>
        <v>2.7999999999999997E-2</v>
      </c>
    </row>
    <row r="205" spans="1:17" ht="12.75" customHeight="1" x14ac:dyDescent="0.2">
      <c r="A205" s="41" t="s">
        <v>1539</v>
      </c>
      <c r="B205" s="25" t="s">
        <v>1540</v>
      </c>
      <c r="C205" s="758">
        <f>C181+J151</f>
        <v>6.54E-2</v>
      </c>
      <c r="D205" s="107">
        <f t="shared" si="6"/>
        <v>9.240000000000001E-2</v>
      </c>
      <c r="E205" s="107">
        <f t="shared" si="21"/>
        <v>9.240000000000001E-2</v>
      </c>
      <c r="I205" s="25"/>
      <c r="P205" s="700">
        <f>+C213+$C$151</f>
        <v>9.240000000000001E-2</v>
      </c>
      <c r="Q205" s="36">
        <f t="shared" si="5"/>
        <v>2.700000000000001E-2</v>
      </c>
    </row>
    <row r="206" spans="1:17" ht="12.75" customHeight="1" x14ac:dyDescent="0.2">
      <c r="A206" s="41" t="s">
        <v>1541</v>
      </c>
      <c r="B206" s="25" t="s">
        <v>1542</v>
      </c>
      <c r="C206" s="758">
        <f>C182+J151</f>
        <v>6.54E-2</v>
      </c>
      <c r="D206" s="107">
        <f t="shared" si="6"/>
        <v>9.240000000000001E-2</v>
      </c>
      <c r="E206" s="107">
        <f>+MAX($D$152,P206)</f>
        <v>9.240000000000001E-2</v>
      </c>
      <c r="I206" s="25"/>
      <c r="P206" s="700">
        <f>+C213+$C$151</f>
        <v>9.240000000000001E-2</v>
      </c>
      <c r="Q206" s="36">
        <f t="shared" si="5"/>
        <v>2.700000000000001E-2</v>
      </c>
    </row>
    <row r="207" spans="1:17" ht="12.75" customHeight="1" x14ac:dyDescent="0.2">
      <c r="A207" s="41" t="s">
        <v>1543</v>
      </c>
      <c r="B207" s="25" t="s">
        <v>1544</v>
      </c>
      <c r="C207" s="758">
        <f>C183+J151</f>
        <v>6.4899999999999999E-2</v>
      </c>
      <c r="D207" s="107">
        <f t="shared" si="6"/>
        <v>9.240000000000001E-2</v>
      </c>
      <c r="E207" s="107">
        <f t="shared" ref="E207:E208" si="22">+MAX($D$152,P207)</f>
        <v>9.240000000000001E-2</v>
      </c>
      <c r="I207" s="25"/>
      <c r="P207" s="700">
        <f>+C213+$C$151</f>
        <v>9.240000000000001E-2</v>
      </c>
      <c r="Q207" s="36">
        <f t="shared" si="5"/>
        <v>2.7500000000000011E-2</v>
      </c>
    </row>
    <row r="208" spans="1:17" ht="12.75" customHeight="1" x14ac:dyDescent="0.2">
      <c r="A208" s="41" t="s">
        <v>1545</v>
      </c>
      <c r="B208" s="25" t="s">
        <v>1546</v>
      </c>
      <c r="C208" s="758">
        <f>C184+J151</f>
        <v>6.6900000000000001E-2</v>
      </c>
      <c r="D208" s="107">
        <f t="shared" si="6"/>
        <v>9.240000000000001E-2</v>
      </c>
      <c r="E208" s="107">
        <f t="shared" si="22"/>
        <v>9.240000000000001E-2</v>
      </c>
      <c r="I208" s="25"/>
      <c r="P208" s="700">
        <f>+C213+$C$151</f>
        <v>9.240000000000001E-2</v>
      </c>
      <c r="Q208" s="36">
        <f t="shared" si="5"/>
        <v>2.5500000000000009E-2</v>
      </c>
    </row>
    <row r="209" spans="1:17" ht="12.75" customHeight="1" x14ac:dyDescent="0.2">
      <c r="A209" s="41" t="s">
        <v>1547</v>
      </c>
      <c r="B209" s="25" t="s">
        <v>1548</v>
      </c>
      <c r="C209" s="758">
        <f>C185+J151</f>
        <v>6.7400000000000002E-2</v>
      </c>
      <c r="D209" s="107">
        <f t="shared" si="6"/>
        <v>9.240000000000001E-2</v>
      </c>
      <c r="E209" s="107">
        <f>+MAX($D$152,P209)</f>
        <v>9.240000000000001E-2</v>
      </c>
      <c r="F209" s="35" t="s">
        <v>206</v>
      </c>
      <c r="I209" s="25"/>
      <c r="P209" s="700">
        <f>+C213+$C$151</f>
        <v>9.240000000000001E-2</v>
      </c>
      <c r="Q209" s="36">
        <f t="shared" si="5"/>
        <v>2.5000000000000008E-2</v>
      </c>
    </row>
    <row r="210" spans="1:17" ht="12.75" customHeight="1" x14ac:dyDescent="0.2">
      <c r="A210" s="41" t="s">
        <v>1549</v>
      </c>
      <c r="B210" s="25" t="s">
        <v>1550</v>
      </c>
      <c r="C210" s="758">
        <f>C186+J151</f>
        <v>6.7400000000000002E-2</v>
      </c>
      <c r="D210" s="107">
        <f t="shared" si="6"/>
        <v>9.240000000000001E-2</v>
      </c>
      <c r="E210" s="107">
        <f t="shared" ref="E210:E211" si="23">+MAX($D$152,P210)</f>
        <v>9.240000000000001E-2</v>
      </c>
      <c r="F210" s="35" t="s">
        <v>206</v>
      </c>
      <c r="I210" s="25"/>
      <c r="P210" s="700">
        <f>+C213+$C$151</f>
        <v>9.240000000000001E-2</v>
      </c>
      <c r="Q210" s="36">
        <f t="shared" si="5"/>
        <v>2.5000000000000008E-2</v>
      </c>
    </row>
    <row r="211" spans="1:17" ht="12.75" customHeight="1" x14ac:dyDescent="0.2">
      <c r="A211" s="41" t="s">
        <v>1551</v>
      </c>
      <c r="B211" s="25" t="s">
        <v>1552</v>
      </c>
      <c r="C211" s="758">
        <f>C187+J151</f>
        <v>6.6900000000000001E-2</v>
      </c>
      <c r="D211" s="107">
        <f t="shared" si="6"/>
        <v>9.240000000000001E-2</v>
      </c>
      <c r="E211" s="107">
        <f t="shared" si="23"/>
        <v>9.240000000000001E-2</v>
      </c>
      <c r="F211" s="35" t="s">
        <v>206</v>
      </c>
      <c r="I211" s="25"/>
      <c r="P211" s="700">
        <f>+C213+$C$151</f>
        <v>9.240000000000001E-2</v>
      </c>
      <c r="Q211" s="36">
        <f t="shared" si="5"/>
        <v>2.5500000000000009E-2</v>
      </c>
    </row>
    <row r="212" spans="1:17" ht="12.75" customHeight="1" x14ac:dyDescent="0.2">
      <c r="A212" s="41" t="s">
        <v>1553</v>
      </c>
      <c r="B212" s="25" t="s">
        <v>1554</v>
      </c>
      <c r="C212" s="758">
        <f>C188+J151</f>
        <v>6.8900000000000003E-2</v>
      </c>
      <c r="D212" s="107">
        <f t="shared" si="6"/>
        <v>9.240000000000001E-2</v>
      </c>
      <c r="E212" s="107">
        <f>+MAX($D$152,P212)</f>
        <v>9.240000000000001E-2</v>
      </c>
      <c r="F212" s="35" t="s">
        <v>206</v>
      </c>
      <c r="I212" s="25"/>
      <c r="P212" s="700">
        <f>+C213+$C$151</f>
        <v>9.240000000000001E-2</v>
      </c>
      <c r="Q212" s="36">
        <f t="shared" si="5"/>
        <v>2.3500000000000007E-2</v>
      </c>
    </row>
    <row r="213" spans="1:17" ht="12.75" customHeight="1" x14ac:dyDescent="0.2">
      <c r="A213" s="41" t="s">
        <v>1555</v>
      </c>
      <c r="B213" s="25" t="s">
        <v>1556</v>
      </c>
      <c r="C213" s="758">
        <f>C201</f>
        <v>6.2400000000000004E-2</v>
      </c>
      <c r="D213" s="107">
        <f t="shared" si="6"/>
        <v>9.240000000000001E-2</v>
      </c>
      <c r="E213" s="107">
        <f t="shared" ref="E213:E214" si="24">+MAX($D$152,P213)</f>
        <v>9.240000000000001E-2</v>
      </c>
      <c r="I213" s="25"/>
      <c r="P213" s="36">
        <f t="shared" si="16"/>
        <v>9.240000000000001E-2</v>
      </c>
      <c r="Q213" s="36">
        <f t="shared" si="5"/>
        <v>3.0000000000000006E-2</v>
      </c>
    </row>
    <row r="214" spans="1:17" ht="12.75" customHeight="1" x14ac:dyDescent="0.2">
      <c r="A214" s="41" t="s">
        <v>1557</v>
      </c>
      <c r="B214" s="25" t="s">
        <v>1558</v>
      </c>
      <c r="C214" s="758">
        <f>C165+K151</f>
        <v>6.1900000000000004E-2</v>
      </c>
      <c r="D214" s="107">
        <f t="shared" si="6"/>
        <v>9.1900000000000009E-2</v>
      </c>
      <c r="E214" s="107">
        <f t="shared" si="24"/>
        <v>9.1900000000000009E-2</v>
      </c>
      <c r="I214" s="25"/>
      <c r="P214" s="36">
        <f t="shared" si="16"/>
        <v>9.1900000000000009E-2</v>
      </c>
      <c r="Q214" s="36">
        <f t="shared" si="5"/>
        <v>3.0000000000000006E-2</v>
      </c>
    </row>
    <row r="215" spans="1:17" ht="12.75" customHeight="1" x14ac:dyDescent="0.2">
      <c r="A215" s="41" t="s">
        <v>1559</v>
      </c>
      <c r="B215" s="25" t="s">
        <v>1560</v>
      </c>
      <c r="C215" s="758">
        <f>C166+K151</f>
        <v>6.3899999999999998E-2</v>
      </c>
      <c r="D215" s="107">
        <f>+MAX($D$152,P215)</f>
        <v>9.3899999999999997E-2</v>
      </c>
      <c r="E215" s="107">
        <f>+MAX($D$152,P215)</f>
        <v>9.3899999999999997E-2</v>
      </c>
      <c r="I215" s="25"/>
      <c r="P215" s="36">
        <f t="shared" si="16"/>
        <v>9.3899999999999997E-2</v>
      </c>
      <c r="Q215" s="36">
        <f t="shared" si="5"/>
        <v>0.03</v>
      </c>
    </row>
    <row r="216" spans="1:17" ht="12.75" customHeight="1" x14ac:dyDescent="0.2">
      <c r="A216" s="41" t="s">
        <v>1561</v>
      </c>
      <c r="B216" s="25" t="s">
        <v>1562</v>
      </c>
      <c r="C216" s="758">
        <f>C167+K151</f>
        <v>6.4899999999999999E-2</v>
      </c>
      <c r="D216" s="107">
        <f>+MAX($D$152,P216)</f>
        <v>9.4899999999999998E-2</v>
      </c>
      <c r="E216" s="107">
        <f t="shared" ref="E216:E217" si="25">+MAX($D$152,P216)</f>
        <v>9.4899999999999998E-2</v>
      </c>
      <c r="I216" s="25"/>
      <c r="P216" s="36">
        <f t="shared" si="16"/>
        <v>9.4899999999999998E-2</v>
      </c>
      <c r="Q216" s="36">
        <f t="shared" si="5"/>
        <v>0.03</v>
      </c>
    </row>
    <row r="217" spans="1:17" ht="12.75" customHeight="1" x14ac:dyDescent="0.2">
      <c r="A217" s="41" t="s">
        <v>1563</v>
      </c>
      <c r="B217" s="25" t="s">
        <v>1564</v>
      </c>
      <c r="C217" s="758">
        <f>C214</f>
        <v>6.1900000000000004E-2</v>
      </c>
      <c r="D217" s="107">
        <f t="shared" si="6"/>
        <v>9.1900000000000009E-2</v>
      </c>
      <c r="E217" s="107">
        <f t="shared" si="25"/>
        <v>9.1900000000000009E-2</v>
      </c>
      <c r="F217" s="35" t="s">
        <v>206</v>
      </c>
      <c r="I217" s="25"/>
      <c r="P217" s="36">
        <f>+C217+$C$151</f>
        <v>9.1900000000000009E-2</v>
      </c>
      <c r="Q217" s="36">
        <f t="shared" si="5"/>
        <v>3.0000000000000006E-2</v>
      </c>
    </row>
    <row r="218" spans="1:17" ht="12.75" customHeight="1" x14ac:dyDescent="0.2">
      <c r="A218" s="41" t="s">
        <v>1565</v>
      </c>
      <c r="B218" s="25" t="s">
        <v>1566</v>
      </c>
      <c r="C218" s="758">
        <f>C215</f>
        <v>6.3899999999999998E-2</v>
      </c>
      <c r="D218" s="107">
        <f>+MAX($D$152,P218)</f>
        <v>9.3899999999999997E-2</v>
      </c>
      <c r="E218" s="107">
        <f>+MAX($D$152,P218)</f>
        <v>9.3899999999999997E-2</v>
      </c>
      <c r="F218" s="35" t="s">
        <v>206</v>
      </c>
      <c r="I218" s="25"/>
      <c r="P218" s="36">
        <f>+C218+$C$151</f>
        <v>9.3899999999999997E-2</v>
      </c>
      <c r="Q218" s="36">
        <f t="shared" si="5"/>
        <v>0.03</v>
      </c>
    </row>
    <row r="219" spans="1:17" ht="12.75" customHeight="1" x14ac:dyDescent="0.2">
      <c r="A219" s="41" t="s">
        <v>1567</v>
      </c>
      <c r="B219" s="25" t="s">
        <v>1568</v>
      </c>
      <c r="C219" s="758">
        <f>C216</f>
        <v>6.4899999999999999E-2</v>
      </c>
      <c r="D219" s="107">
        <f>+MAX($D$152,P219)</f>
        <v>9.4899999999999998E-2</v>
      </c>
      <c r="E219" s="107">
        <f t="shared" ref="E219:E220" si="26">+MAX($D$152,P219)</f>
        <v>9.4899999999999998E-2</v>
      </c>
      <c r="F219" s="35" t="s">
        <v>206</v>
      </c>
      <c r="I219" s="25"/>
      <c r="P219" s="36">
        <f>+C219+$C$151</f>
        <v>9.4899999999999998E-2</v>
      </c>
      <c r="Q219" s="36">
        <f t="shared" si="5"/>
        <v>0.03</v>
      </c>
    </row>
    <row r="220" spans="1:17" ht="12.75" customHeight="1" x14ac:dyDescent="0.2">
      <c r="A220" s="41" t="s">
        <v>1569</v>
      </c>
      <c r="B220" s="25" t="s">
        <v>1570</v>
      </c>
      <c r="C220" s="758">
        <f>C171+K151</f>
        <v>6.4899999999999999E-2</v>
      </c>
      <c r="D220" s="107">
        <f t="shared" si="6"/>
        <v>9.1900000000000009E-2</v>
      </c>
      <c r="E220" s="107">
        <f t="shared" si="26"/>
        <v>9.1900000000000009E-2</v>
      </c>
      <c r="I220" s="25"/>
      <c r="P220" s="700">
        <f>+C225+$C$151</f>
        <v>9.1900000000000009E-2</v>
      </c>
      <c r="Q220" s="36">
        <f t="shared" si="5"/>
        <v>2.700000000000001E-2</v>
      </c>
    </row>
    <row r="221" spans="1:17" ht="12.75" customHeight="1" x14ac:dyDescent="0.2">
      <c r="A221" s="41" t="s">
        <v>1571</v>
      </c>
      <c r="B221" s="25" t="s">
        <v>1572</v>
      </c>
      <c r="C221" s="758">
        <f>C220</f>
        <v>6.4899999999999999E-2</v>
      </c>
      <c r="D221" s="107">
        <f t="shared" si="6"/>
        <v>9.1900000000000009E-2</v>
      </c>
      <c r="E221" s="107">
        <f>+MAX($D$152,P221)</f>
        <v>9.1900000000000009E-2</v>
      </c>
      <c r="F221" s="35" t="s">
        <v>206</v>
      </c>
      <c r="I221" s="25"/>
      <c r="P221" s="700">
        <f>+C225+$C$151</f>
        <v>9.1900000000000009E-2</v>
      </c>
      <c r="Q221" s="36">
        <f t="shared" si="5"/>
        <v>2.700000000000001E-2</v>
      </c>
    </row>
    <row r="222" spans="1:17" ht="12.75" customHeight="1" x14ac:dyDescent="0.2">
      <c r="A222" s="41" t="s">
        <v>1573</v>
      </c>
      <c r="B222" s="25" t="s">
        <v>1574</v>
      </c>
      <c r="C222" s="758">
        <f>C173+K151</f>
        <v>6.4899999999999999E-2</v>
      </c>
      <c r="D222" s="107">
        <f t="shared" si="6"/>
        <v>9.1900000000000009E-2</v>
      </c>
      <c r="E222" s="107">
        <f t="shared" ref="E222:E223" si="27">+MAX($D$152,P222)</f>
        <v>9.1900000000000009E-2</v>
      </c>
      <c r="I222" s="25"/>
      <c r="P222" s="700">
        <f>+C225+$C$151</f>
        <v>9.1900000000000009E-2</v>
      </c>
      <c r="Q222" s="36">
        <f t="shared" si="5"/>
        <v>2.700000000000001E-2</v>
      </c>
    </row>
    <row r="223" spans="1:17" ht="12.75" customHeight="1" x14ac:dyDescent="0.2">
      <c r="A223" s="41" t="s">
        <v>1575</v>
      </c>
      <c r="B223" s="25" t="s">
        <v>1576</v>
      </c>
      <c r="C223" s="758">
        <f>C174+K151</f>
        <v>6.4399999999999999E-2</v>
      </c>
      <c r="D223" s="107">
        <f t="shared" si="6"/>
        <v>9.1900000000000009E-2</v>
      </c>
      <c r="E223" s="107">
        <f t="shared" si="27"/>
        <v>9.1900000000000009E-2</v>
      </c>
      <c r="I223" s="25"/>
      <c r="P223" s="700">
        <f>+C225+$C$151</f>
        <v>9.1900000000000009E-2</v>
      </c>
      <c r="Q223" s="36">
        <f t="shared" si="5"/>
        <v>2.7500000000000011E-2</v>
      </c>
    </row>
    <row r="224" spans="1:17" ht="12.75" customHeight="1" x14ac:dyDescent="0.2">
      <c r="A224" s="41" t="s">
        <v>1577</v>
      </c>
      <c r="B224" s="25" t="s">
        <v>1578</v>
      </c>
      <c r="C224" s="758">
        <f>C175+K151</f>
        <v>6.6400000000000001E-2</v>
      </c>
      <c r="D224" s="107">
        <f t="shared" si="6"/>
        <v>9.1900000000000009E-2</v>
      </c>
      <c r="E224" s="107">
        <f>+MAX($D$152,P224)</f>
        <v>9.1900000000000009E-2</v>
      </c>
      <c r="I224" s="25"/>
      <c r="P224" s="700">
        <f>+C225+$C$151</f>
        <v>9.1900000000000009E-2</v>
      </c>
      <c r="Q224" s="36">
        <f t="shared" si="5"/>
        <v>2.5500000000000009E-2</v>
      </c>
    </row>
    <row r="225" spans="1:17" ht="12.75" customHeight="1" x14ac:dyDescent="0.2">
      <c r="A225" s="41" t="s">
        <v>1579</v>
      </c>
      <c r="B225" s="25" t="s">
        <v>1580</v>
      </c>
      <c r="C225" s="758">
        <f>C214</f>
        <v>6.1900000000000004E-2</v>
      </c>
      <c r="D225" s="107">
        <f t="shared" si="6"/>
        <v>9.1900000000000009E-2</v>
      </c>
      <c r="E225" s="107">
        <f t="shared" ref="E225:E226" si="28">+MAX($D$152,P225)</f>
        <v>9.1900000000000009E-2</v>
      </c>
      <c r="I225" s="25"/>
      <c r="P225" s="36">
        <f t="shared" si="16"/>
        <v>9.1900000000000009E-2</v>
      </c>
      <c r="Q225" s="36">
        <f t="shared" si="5"/>
        <v>3.0000000000000006E-2</v>
      </c>
    </row>
    <row r="226" spans="1:17" ht="12.75" customHeight="1" x14ac:dyDescent="0.2">
      <c r="A226" s="41" t="s">
        <v>1581</v>
      </c>
      <c r="B226" s="25" t="s">
        <v>1582</v>
      </c>
      <c r="C226" s="758">
        <f>C177+K151</f>
        <v>6.3399999999999998E-2</v>
      </c>
      <c r="D226" s="107">
        <f t="shared" si="6"/>
        <v>9.3399999999999997E-2</v>
      </c>
      <c r="E226" s="107">
        <f t="shared" si="28"/>
        <v>9.3399999999999997E-2</v>
      </c>
      <c r="I226" s="25"/>
      <c r="P226" s="36">
        <f t="shared" si="16"/>
        <v>9.3399999999999997E-2</v>
      </c>
      <c r="Q226" s="36">
        <f t="shared" si="5"/>
        <v>0.03</v>
      </c>
    </row>
    <row r="227" spans="1:17" ht="12.75" customHeight="1" x14ac:dyDescent="0.2">
      <c r="A227" s="41" t="s">
        <v>1583</v>
      </c>
      <c r="B227" s="25" t="s">
        <v>1584</v>
      </c>
      <c r="C227" s="758">
        <f>C178+K151</f>
        <v>6.4899999999999999E-2</v>
      </c>
      <c r="D227" s="107">
        <f>+MAX($D$152,P227)</f>
        <v>9.4899999999999998E-2</v>
      </c>
      <c r="E227" s="107">
        <f>+MAX($D$152,P227)</f>
        <v>9.4899999999999998E-2</v>
      </c>
      <c r="I227" s="25"/>
      <c r="P227" s="36">
        <f t="shared" si="16"/>
        <v>9.4899999999999998E-2</v>
      </c>
      <c r="Q227" s="36">
        <f t="shared" si="5"/>
        <v>0.03</v>
      </c>
    </row>
    <row r="228" spans="1:17" ht="12.75" customHeight="1" x14ac:dyDescent="0.2">
      <c r="A228" s="41" t="s">
        <v>1585</v>
      </c>
      <c r="B228" s="25" t="s">
        <v>1586</v>
      </c>
      <c r="C228" s="758">
        <f>C226+K151</f>
        <v>6.54E-2</v>
      </c>
      <c r="D228" s="107">
        <f t="shared" si="6"/>
        <v>9.3399999999999997E-2</v>
      </c>
      <c r="E228" s="107">
        <f t="shared" ref="E228:E229" si="29">+MAX($D$152,P228)</f>
        <v>9.3399999999999997E-2</v>
      </c>
      <c r="F228" s="35" t="s">
        <v>206</v>
      </c>
      <c r="I228" s="25"/>
      <c r="P228" s="36">
        <f>+(C228-0.2%)+$C$151</f>
        <v>9.3399999999999997E-2</v>
      </c>
      <c r="Q228" s="36">
        <f t="shared" si="5"/>
        <v>2.7999999999999997E-2</v>
      </c>
    </row>
    <row r="229" spans="1:17" ht="12.75" customHeight="1" x14ac:dyDescent="0.2">
      <c r="A229" s="41" t="s">
        <v>1587</v>
      </c>
      <c r="B229" s="25" t="s">
        <v>1588</v>
      </c>
      <c r="C229" s="758">
        <f>C227+K151</f>
        <v>6.6900000000000001E-2</v>
      </c>
      <c r="D229" s="107">
        <f>+MAX($D$152,P229)</f>
        <v>9.4899999999999998E-2</v>
      </c>
      <c r="E229" s="107">
        <f t="shared" si="29"/>
        <v>9.4899999999999998E-2</v>
      </c>
      <c r="F229" s="35" t="s">
        <v>206</v>
      </c>
      <c r="I229" s="25"/>
      <c r="P229" s="36">
        <f>+(C229-0.2%)+$C$151</f>
        <v>9.4899999999999998E-2</v>
      </c>
      <c r="Q229" s="36">
        <f t="shared" si="5"/>
        <v>2.7999999999999997E-2</v>
      </c>
    </row>
    <row r="230" spans="1:17" ht="12.75" customHeight="1" x14ac:dyDescent="0.2">
      <c r="A230" s="41" t="s">
        <v>1589</v>
      </c>
      <c r="B230" s="25" t="s">
        <v>1590</v>
      </c>
      <c r="C230" s="758">
        <f>C181+K151</f>
        <v>6.6400000000000001E-2</v>
      </c>
      <c r="D230" s="107">
        <f t="shared" si="6"/>
        <v>9.3399999999999997E-2</v>
      </c>
      <c r="E230" s="107">
        <f>+MAX($D$152,P230)</f>
        <v>9.3399999999999997E-2</v>
      </c>
      <c r="I230" s="25"/>
      <c r="P230" s="700">
        <f>+C238+$C$151</f>
        <v>9.3399999999999997E-2</v>
      </c>
      <c r="Q230" s="36">
        <f t="shared" si="5"/>
        <v>2.6999999999999996E-2</v>
      </c>
    </row>
    <row r="231" spans="1:17" ht="12.75" customHeight="1" x14ac:dyDescent="0.2">
      <c r="A231" s="41" t="s">
        <v>1591</v>
      </c>
      <c r="B231" s="25" t="s">
        <v>1592</v>
      </c>
      <c r="C231" s="758">
        <f>C182+K151</f>
        <v>6.6400000000000001E-2</v>
      </c>
      <c r="D231" s="107">
        <f t="shared" si="6"/>
        <v>9.3399999999999997E-2</v>
      </c>
      <c r="E231" s="107">
        <f t="shared" ref="E231:E232" si="30">+MAX($D$152,P231)</f>
        <v>9.3399999999999997E-2</v>
      </c>
      <c r="I231" s="25"/>
      <c r="P231" s="700">
        <f>+C238+$C$151</f>
        <v>9.3399999999999997E-2</v>
      </c>
      <c r="Q231" s="36">
        <f t="shared" ref="Q231:Q238" si="31">+D231-C231</f>
        <v>2.6999999999999996E-2</v>
      </c>
    </row>
    <row r="232" spans="1:17" ht="12.75" customHeight="1" x14ac:dyDescent="0.2">
      <c r="A232" s="41" t="s">
        <v>1593</v>
      </c>
      <c r="B232" s="25" t="s">
        <v>1594</v>
      </c>
      <c r="C232" s="758">
        <f>C183+K151</f>
        <v>6.59E-2</v>
      </c>
      <c r="D232" s="107">
        <f t="shared" ref="D232:D238" si="32">+MAX($C$152,P232)</f>
        <v>9.3399999999999997E-2</v>
      </c>
      <c r="E232" s="107">
        <f t="shared" si="30"/>
        <v>9.3399999999999997E-2</v>
      </c>
      <c r="I232" s="25"/>
      <c r="P232" s="700">
        <f>+C238+$C$151</f>
        <v>9.3399999999999997E-2</v>
      </c>
      <c r="Q232" s="36">
        <f t="shared" si="31"/>
        <v>2.7499999999999997E-2</v>
      </c>
    </row>
    <row r="233" spans="1:17" ht="12.75" customHeight="1" x14ac:dyDescent="0.2">
      <c r="A233" s="41" t="s">
        <v>1595</v>
      </c>
      <c r="B233" s="25" t="s">
        <v>1596</v>
      </c>
      <c r="C233" s="758">
        <f>C184+K151</f>
        <v>6.7900000000000002E-2</v>
      </c>
      <c r="D233" s="107">
        <f t="shared" si="32"/>
        <v>9.3399999999999997E-2</v>
      </c>
      <c r="E233" s="107">
        <f>+MAX($D$152,P233)</f>
        <v>9.3399999999999997E-2</v>
      </c>
      <c r="I233" s="25"/>
      <c r="P233" s="700">
        <f>+C238+$C$151</f>
        <v>9.3399999999999997E-2</v>
      </c>
      <c r="Q233" s="36">
        <f t="shared" si="31"/>
        <v>2.5499999999999995E-2</v>
      </c>
    </row>
    <row r="234" spans="1:17" ht="12.75" customHeight="1" x14ac:dyDescent="0.2">
      <c r="A234" s="41" t="s">
        <v>1597</v>
      </c>
      <c r="B234" s="25" t="s">
        <v>1598</v>
      </c>
      <c r="C234" s="758">
        <f>C230+E151</f>
        <v>6.8400000000000002E-2</v>
      </c>
      <c r="D234" s="107">
        <f t="shared" si="32"/>
        <v>9.3399999999999997E-2</v>
      </c>
      <c r="E234" s="107">
        <f t="shared" ref="E234:E235" si="33">+MAX($D$152,P234)</f>
        <v>9.3399999999999997E-2</v>
      </c>
      <c r="F234" s="35" t="s">
        <v>206</v>
      </c>
      <c r="I234" s="25"/>
      <c r="P234" s="700">
        <f>+C238+$C$151</f>
        <v>9.3399999999999997E-2</v>
      </c>
      <c r="Q234" s="36">
        <f t="shared" si="31"/>
        <v>2.4999999999999994E-2</v>
      </c>
    </row>
    <row r="235" spans="1:17" ht="12.75" customHeight="1" x14ac:dyDescent="0.2">
      <c r="A235" s="41" t="s">
        <v>1599</v>
      </c>
      <c r="B235" s="25" t="s">
        <v>1600</v>
      </c>
      <c r="C235" s="758">
        <f>C231+E151</f>
        <v>6.8400000000000002E-2</v>
      </c>
      <c r="D235" s="107">
        <f t="shared" si="32"/>
        <v>9.3399999999999997E-2</v>
      </c>
      <c r="E235" s="107">
        <f t="shared" si="33"/>
        <v>9.3399999999999997E-2</v>
      </c>
      <c r="F235" s="35" t="s">
        <v>206</v>
      </c>
      <c r="I235" s="25"/>
      <c r="P235" s="700">
        <f>+C238+$C$151</f>
        <v>9.3399999999999997E-2</v>
      </c>
      <c r="Q235" s="36">
        <f t="shared" si="31"/>
        <v>2.4999999999999994E-2</v>
      </c>
    </row>
    <row r="236" spans="1:17" ht="12.75" customHeight="1" x14ac:dyDescent="0.2">
      <c r="A236" s="41" t="s">
        <v>1601</v>
      </c>
      <c r="B236" s="25" t="s">
        <v>1602</v>
      </c>
      <c r="C236" s="758">
        <f>C232+E151</f>
        <v>6.7900000000000002E-2</v>
      </c>
      <c r="D236" s="107">
        <f t="shared" si="32"/>
        <v>9.3399999999999997E-2</v>
      </c>
      <c r="E236" s="107">
        <f>+MAX($D$152,P236)</f>
        <v>9.3399999999999997E-2</v>
      </c>
      <c r="F236" s="35" t="s">
        <v>206</v>
      </c>
      <c r="I236" s="25"/>
      <c r="P236" s="700">
        <f>+C238+$C$151</f>
        <v>9.3399999999999997E-2</v>
      </c>
      <c r="Q236" s="36">
        <f t="shared" si="31"/>
        <v>2.5499999999999995E-2</v>
      </c>
    </row>
    <row r="237" spans="1:17" ht="12.75" customHeight="1" x14ac:dyDescent="0.2">
      <c r="A237" s="41" t="s">
        <v>1603</v>
      </c>
      <c r="B237" s="25" t="s">
        <v>1604</v>
      </c>
      <c r="C237" s="758">
        <f>C233+E151</f>
        <v>6.9900000000000004E-2</v>
      </c>
      <c r="D237" s="107">
        <f t="shared" si="32"/>
        <v>9.3399999999999997E-2</v>
      </c>
      <c r="E237" s="107">
        <f t="shared" ref="E237:E238" si="34">+MAX($D$152,P237)</f>
        <v>9.3399999999999997E-2</v>
      </c>
      <c r="F237" s="35" t="s">
        <v>206</v>
      </c>
      <c r="I237" s="25"/>
      <c r="P237" s="700">
        <f>+C238+$C$151</f>
        <v>9.3399999999999997E-2</v>
      </c>
      <c r="Q237" s="36">
        <f t="shared" si="31"/>
        <v>2.3499999999999993E-2</v>
      </c>
    </row>
    <row r="238" spans="1:17" ht="12.75" customHeight="1" x14ac:dyDescent="0.2">
      <c r="A238" s="41" t="s">
        <v>1605</v>
      </c>
      <c r="B238" s="25" t="s">
        <v>1606</v>
      </c>
      <c r="C238" s="758">
        <f>C226</f>
        <v>6.3399999999999998E-2</v>
      </c>
      <c r="D238" s="107">
        <f t="shared" si="32"/>
        <v>9.3399999999999997E-2</v>
      </c>
      <c r="E238" s="107">
        <f t="shared" si="34"/>
        <v>9.3399999999999997E-2</v>
      </c>
      <c r="I238" s="25"/>
      <c r="P238" s="36">
        <f t="shared" si="16"/>
        <v>9.3399999999999997E-2</v>
      </c>
      <c r="Q238" s="36">
        <f t="shared" si="31"/>
        <v>0.03</v>
      </c>
    </row>
    <row r="239" spans="1:17" ht="12.75" customHeight="1" x14ac:dyDescent="0.2">
      <c r="A239" s="18" t="s">
        <v>344</v>
      </c>
      <c r="B239" s="18" t="s">
        <v>345</v>
      </c>
      <c r="C239" s="404">
        <v>6.6900000000000001E-2</v>
      </c>
      <c r="D239" s="595"/>
      <c r="E239" s="595"/>
      <c r="F239" s="35" t="s">
        <v>342</v>
      </c>
      <c r="I239" s="18"/>
      <c r="L239" s="446">
        <v>0</v>
      </c>
      <c r="M239" s="143">
        <v>0</v>
      </c>
      <c r="P239" s="36"/>
    </row>
    <row r="240" spans="1:17" ht="12.75" customHeight="1" x14ac:dyDescent="0.2">
      <c r="A240" s="18" t="s">
        <v>1415</v>
      </c>
      <c r="B240" s="18" t="s">
        <v>152</v>
      </c>
      <c r="C240" s="441">
        <f>(C239)-VLOOKUP([1]Worksheet!C$24,L239:M240,2,TRUE)</f>
        <v>6.6900000000000001E-2</v>
      </c>
      <c r="D240" s="592">
        <f>+MAX(D$152,P240)</f>
        <v>9.69E-2</v>
      </c>
      <c r="E240" s="107">
        <f t="shared" ref="E240:E251" si="35">+MAX(D$152,P240)</f>
        <v>9.69E-2</v>
      </c>
      <c r="I240" s="18"/>
      <c r="L240" s="446">
        <v>499999.99</v>
      </c>
      <c r="M240" s="447">
        <v>1E-3</v>
      </c>
      <c r="N240" s="36">
        <f>+C240-M240</f>
        <v>6.59E-2</v>
      </c>
      <c r="P240" s="36">
        <f>+C240+C$151</f>
        <v>9.69E-2</v>
      </c>
      <c r="Q240" s="36">
        <f>+D240-C240</f>
        <v>0.03</v>
      </c>
    </row>
    <row r="241" spans="1:17" ht="12.75" customHeight="1" x14ac:dyDescent="0.2">
      <c r="A241" s="18" t="s">
        <v>151</v>
      </c>
      <c r="B241" s="18" t="s">
        <v>152</v>
      </c>
      <c r="C241" s="441">
        <f>(C239)-((VLOOKUP([1]Worksheet!C$24,L239:M240,2,TRUE))-(G151))</f>
        <v>6.2400000000000004E-2</v>
      </c>
      <c r="D241" s="592">
        <f>+MAX(C152,P241)</f>
        <v>9.240000000000001E-2</v>
      </c>
      <c r="E241" s="107">
        <f t="shared" si="35"/>
        <v>9.240000000000001E-2</v>
      </c>
      <c r="I241" s="18"/>
      <c r="L241" s="446"/>
      <c r="M241" s="447"/>
      <c r="N241" s="36"/>
      <c r="P241" s="36">
        <f>+C241+C$151</f>
        <v>9.240000000000001E-2</v>
      </c>
      <c r="Q241" s="36">
        <f>+D241-C241</f>
        <v>3.0000000000000006E-2</v>
      </c>
    </row>
    <row r="242" spans="1:17" ht="12.75" customHeight="1" x14ac:dyDescent="0.2">
      <c r="A242" s="18" t="s">
        <v>1421</v>
      </c>
      <c r="B242" s="18" t="s">
        <v>152</v>
      </c>
      <c r="C242" s="441">
        <f>(C239)-(VLOOKUP([1]Worksheet!C$24,L239:M240,2,TRUE))-H151</f>
        <v>6.8400000000000002E-2</v>
      </c>
      <c r="D242" s="592">
        <f>+MAX(D$152,P242)</f>
        <v>9.8400000000000001E-2</v>
      </c>
      <c r="E242" s="107">
        <f t="shared" si="35"/>
        <v>9.8400000000000001E-2</v>
      </c>
      <c r="I242" s="18"/>
      <c r="L242" s="446"/>
      <c r="M242" s="447"/>
      <c r="N242" s="36"/>
      <c r="P242" s="36">
        <f>+C242+C$151</f>
        <v>9.8400000000000001E-2</v>
      </c>
      <c r="Q242" s="36">
        <v>0.03</v>
      </c>
    </row>
    <row r="243" spans="1:17" ht="12.75" customHeight="1" x14ac:dyDescent="0.2">
      <c r="A243" s="18" t="s">
        <v>153</v>
      </c>
      <c r="B243" s="18" t="s">
        <v>154</v>
      </c>
      <c r="C243" s="142">
        <v>7.9000000000000001E-2</v>
      </c>
      <c r="D243" s="592">
        <f t="shared" ref="D243:D251" si="36">+MAX(C$152,P243)</f>
        <v>0.109</v>
      </c>
      <c r="E243" s="107">
        <f t="shared" si="35"/>
        <v>0.109</v>
      </c>
      <c r="F243" s="35" t="s">
        <v>342</v>
      </c>
      <c r="P243" s="36">
        <f>+C243+C$151</f>
        <v>0.109</v>
      </c>
      <c r="Q243" s="36">
        <f t="shared" ref="Q243:Q268" si="37">+D243-C243</f>
        <v>0.03</v>
      </c>
    </row>
    <row r="244" spans="1:17" ht="12.75" customHeight="1" x14ac:dyDescent="0.2">
      <c r="A244" s="18" t="s">
        <v>331</v>
      </c>
      <c r="B244" s="18" t="s">
        <v>332</v>
      </c>
      <c r="C244" s="441">
        <v>7.9000000000000001E-2</v>
      </c>
      <c r="D244" s="107">
        <f t="shared" si="36"/>
        <v>0.109</v>
      </c>
      <c r="E244" s="107">
        <f t="shared" si="35"/>
        <v>0.109</v>
      </c>
      <c r="F244" s="35" t="s">
        <v>206</v>
      </c>
      <c r="H244" s="444">
        <v>0</v>
      </c>
      <c r="I244" s="444">
        <v>249999</v>
      </c>
      <c r="J244" s="445">
        <v>499999</v>
      </c>
      <c r="K244" s="444">
        <v>749999</v>
      </c>
      <c r="L244" s="90">
        <f>+H244</f>
        <v>0</v>
      </c>
      <c r="M244" s="32">
        <f>+H245</f>
        <v>7.4999999999999997E-3</v>
      </c>
      <c r="N244" s="36">
        <f>+C$243-M244</f>
        <v>7.1500000000000008E-2</v>
      </c>
      <c r="P244" s="36">
        <f>+C$243+C$151</f>
        <v>0.109</v>
      </c>
      <c r="Q244" s="36">
        <f t="shared" si="37"/>
        <v>0.03</v>
      </c>
    </row>
    <row r="245" spans="1:17" ht="12.75" customHeight="1" x14ac:dyDescent="0.2">
      <c r="A245" s="18" t="s">
        <v>155</v>
      </c>
      <c r="B245" s="18" t="s">
        <v>156</v>
      </c>
      <c r="C245" s="441" t="e">
        <f>+C243-VLOOKUP([1]Worksheet!C$24,L$248:M$251,2,TRUE)</f>
        <v>#N/A</v>
      </c>
      <c r="D245" s="592" t="e">
        <f t="shared" si="36"/>
        <v>#N/A</v>
      </c>
      <c r="E245" s="107" t="e">
        <f t="shared" si="35"/>
        <v>#N/A</v>
      </c>
      <c r="F245" s="35" t="s">
        <v>342</v>
      </c>
      <c r="G245" s="443">
        <f>ROUND(395/12,0)</f>
        <v>33</v>
      </c>
      <c r="H245" s="140">
        <v>7.4999999999999997E-3</v>
      </c>
      <c r="I245" s="141">
        <v>8.5000000000000006E-3</v>
      </c>
      <c r="J245" s="140">
        <v>9.4999999999999998E-3</v>
      </c>
      <c r="K245" s="140">
        <v>1.0500000000000001E-2</v>
      </c>
      <c r="L245" s="90">
        <f>+I244</f>
        <v>249999</v>
      </c>
      <c r="M245" s="32">
        <f>+I245</f>
        <v>8.5000000000000006E-3</v>
      </c>
      <c r="N245" s="36">
        <f>+C$243-M245</f>
        <v>7.0500000000000007E-2</v>
      </c>
      <c r="P245" s="36" t="e">
        <f>+C245+C$151</f>
        <v>#N/A</v>
      </c>
      <c r="Q245" s="36" t="e">
        <f t="shared" si="37"/>
        <v>#N/A</v>
      </c>
    </row>
    <row r="246" spans="1:17" ht="12.75" customHeight="1" x14ac:dyDescent="0.2">
      <c r="A246" s="18" t="s">
        <v>333</v>
      </c>
      <c r="B246" s="18" t="s">
        <v>334</v>
      </c>
      <c r="C246" s="441" t="e">
        <f>+C245</f>
        <v>#N/A</v>
      </c>
      <c r="D246" s="107" t="e">
        <f t="shared" si="36"/>
        <v>#N/A</v>
      </c>
      <c r="E246" s="107" t="e">
        <f t="shared" si="35"/>
        <v>#N/A</v>
      </c>
      <c r="F246" s="35" t="s">
        <v>206</v>
      </c>
      <c r="G246" s="442">
        <f t="shared" ref="G246:G251" si="38">ROUND(395/12,0)</f>
        <v>33</v>
      </c>
      <c r="I246" s="18"/>
      <c r="L246" s="91">
        <f>+J244</f>
        <v>499999</v>
      </c>
      <c r="M246" s="32">
        <f>+J245</f>
        <v>9.4999999999999998E-3</v>
      </c>
      <c r="N246" s="36">
        <f>+C$243-M246</f>
        <v>6.9500000000000006E-2</v>
      </c>
      <c r="P246" s="36" t="e">
        <f t="shared" ref="P246:P251" si="39">+C$245+$C$151</f>
        <v>#N/A</v>
      </c>
      <c r="Q246" s="36" t="e">
        <f t="shared" si="37"/>
        <v>#N/A</v>
      </c>
    </row>
    <row r="247" spans="1:17" ht="12.75" customHeight="1" x14ac:dyDescent="0.2">
      <c r="A247" s="25" t="s">
        <v>157</v>
      </c>
      <c r="B247" s="25" t="s">
        <v>158</v>
      </c>
      <c r="C247" s="142">
        <v>6.2399999999999997E-2</v>
      </c>
      <c r="D247" s="592" t="e">
        <f t="shared" si="36"/>
        <v>#N/A</v>
      </c>
      <c r="E247" s="107" t="e">
        <f t="shared" si="35"/>
        <v>#N/A</v>
      </c>
      <c r="F247" s="35" t="s">
        <v>342</v>
      </c>
      <c r="G247" s="442">
        <f t="shared" si="38"/>
        <v>33</v>
      </c>
      <c r="I247" s="18"/>
      <c r="L247" s="90">
        <f>+K244</f>
        <v>749999</v>
      </c>
      <c r="M247" s="32">
        <f>+K245</f>
        <v>1.0500000000000001E-2</v>
      </c>
      <c r="N247" s="36">
        <f>+C$243-M247</f>
        <v>6.8500000000000005E-2</v>
      </c>
      <c r="P247" s="36" t="e">
        <f t="shared" si="39"/>
        <v>#N/A</v>
      </c>
      <c r="Q247" s="36" t="e">
        <f t="shared" si="37"/>
        <v>#N/A</v>
      </c>
    </row>
    <row r="248" spans="1:17" ht="12.75" customHeight="1" x14ac:dyDescent="0.2">
      <c r="A248" s="25" t="s">
        <v>335</v>
      </c>
      <c r="B248" s="25" t="s">
        <v>336</v>
      </c>
      <c r="C248" s="441">
        <f>+C247+E$155</f>
        <v>6.2399999999999997E-2</v>
      </c>
      <c r="D248" s="107" t="e">
        <f t="shared" si="36"/>
        <v>#N/A</v>
      </c>
      <c r="E248" s="107" t="e">
        <f t="shared" si="35"/>
        <v>#N/A</v>
      </c>
      <c r="F248" s="35" t="s">
        <v>206</v>
      </c>
      <c r="G248" s="442">
        <f t="shared" si="38"/>
        <v>33</v>
      </c>
      <c r="I248" s="18"/>
      <c r="L248" s="90"/>
      <c r="M248" s="32"/>
      <c r="N248" s="36"/>
      <c r="P248" s="36" t="e">
        <f t="shared" si="39"/>
        <v>#N/A</v>
      </c>
      <c r="Q248" s="36" t="e">
        <f t="shared" si="37"/>
        <v>#N/A</v>
      </c>
    </row>
    <row r="249" spans="1:17" ht="12.75" customHeight="1" x14ac:dyDescent="0.2">
      <c r="A249" s="25" t="s">
        <v>159</v>
      </c>
      <c r="B249" s="25" t="s">
        <v>160</v>
      </c>
      <c r="C249" s="142">
        <v>6.2399999999999997E-2</v>
      </c>
      <c r="D249" s="107" t="e">
        <f t="shared" si="36"/>
        <v>#N/A</v>
      </c>
      <c r="E249" s="107" t="e">
        <f t="shared" si="35"/>
        <v>#N/A</v>
      </c>
      <c r="F249" s="35" t="s">
        <v>342</v>
      </c>
      <c r="G249" s="442">
        <f t="shared" si="38"/>
        <v>33</v>
      </c>
      <c r="I249" s="18"/>
      <c r="P249" s="36" t="e">
        <f t="shared" si="39"/>
        <v>#N/A</v>
      </c>
      <c r="Q249" s="36" t="e">
        <f t="shared" si="37"/>
        <v>#N/A</v>
      </c>
    </row>
    <row r="250" spans="1:17" ht="12.75" customHeight="1" x14ac:dyDescent="0.2">
      <c r="A250" s="25" t="s">
        <v>161</v>
      </c>
      <c r="B250" s="25" t="s">
        <v>162</v>
      </c>
      <c r="C250" s="142">
        <v>5.9900000000000002E-2</v>
      </c>
      <c r="D250" s="107" t="e">
        <f t="shared" si="36"/>
        <v>#N/A</v>
      </c>
      <c r="E250" s="107" t="e">
        <f t="shared" si="35"/>
        <v>#N/A</v>
      </c>
      <c r="F250" s="35" t="s">
        <v>342</v>
      </c>
      <c r="G250" s="442">
        <f t="shared" si="38"/>
        <v>33</v>
      </c>
      <c r="I250" s="18"/>
      <c r="L250" s="92"/>
      <c r="M250" s="32"/>
      <c r="N250" s="36"/>
      <c r="P250" s="36" t="e">
        <f t="shared" si="39"/>
        <v>#N/A</v>
      </c>
      <c r="Q250" s="36" t="e">
        <f t="shared" si="37"/>
        <v>#N/A</v>
      </c>
    </row>
    <row r="251" spans="1:17" ht="12.75" customHeight="1" x14ac:dyDescent="0.2">
      <c r="A251" s="25" t="s">
        <v>163</v>
      </c>
      <c r="B251" s="25" t="s">
        <v>164</v>
      </c>
      <c r="C251" s="142">
        <v>6.6400000000000001E-2</v>
      </c>
      <c r="D251" s="107" t="e">
        <f t="shared" si="36"/>
        <v>#N/A</v>
      </c>
      <c r="E251" s="107" t="e">
        <f t="shared" si="35"/>
        <v>#N/A</v>
      </c>
      <c r="F251" s="35" t="s">
        <v>342</v>
      </c>
      <c r="G251" s="442">
        <f t="shared" si="38"/>
        <v>33</v>
      </c>
      <c r="I251" s="25"/>
      <c r="P251" s="36" t="e">
        <f t="shared" si="39"/>
        <v>#N/A</v>
      </c>
      <c r="Q251" s="36" t="e">
        <f t="shared" si="37"/>
        <v>#N/A</v>
      </c>
    </row>
    <row r="252" spans="1:17" ht="12.75" customHeight="1" x14ac:dyDescent="0.2">
      <c r="A252" s="25" t="s">
        <v>346</v>
      </c>
      <c r="B252" s="25" t="s">
        <v>347</v>
      </c>
      <c r="C252" s="404">
        <v>7.0900000000000005E-2</v>
      </c>
      <c r="D252" s="596"/>
      <c r="E252" s="596"/>
      <c r="F252" s="35" t="s">
        <v>342</v>
      </c>
      <c r="I252" s="25"/>
      <c r="L252" s="446">
        <v>0</v>
      </c>
      <c r="M252" s="143">
        <v>0</v>
      </c>
      <c r="Q252" s="36">
        <f t="shared" si="37"/>
        <v>-7.0900000000000005E-2</v>
      </c>
    </row>
    <row r="253" spans="1:17" ht="12.75" customHeight="1" x14ac:dyDescent="0.2">
      <c r="A253" s="25" t="s">
        <v>1417</v>
      </c>
      <c r="B253" s="25" t="s">
        <v>1427</v>
      </c>
      <c r="C253" s="441" t="e">
        <f>(C252)-VLOOKUP([1]Worksheet!C$24,L$256:M$257,2,TRUE)</f>
        <v>#N/A</v>
      </c>
      <c r="D253" s="592" t="e">
        <f>+MAX(D$152,P253)</f>
        <v>#N/A</v>
      </c>
      <c r="E253" s="107" t="e">
        <f>+MAX(D$152,P253)</f>
        <v>#N/A</v>
      </c>
      <c r="I253" s="25"/>
      <c r="L253" s="446">
        <v>499999.99</v>
      </c>
      <c r="M253" s="447">
        <v>1E-3</v>
      </c>
      <c r="N253" s="36" t="e">
        <f>+C253-M253</f>
        <v>#N/A</v>
      </c>
      <c r="P253" s="36" t="e">
        <f>+C253+C$151</f>
        <v>#N/A</v>
      </c>
      <c r="Q253" s="36" t="e">
        <f t="shared" si="37"/>
        <v>#N/A</v>
      </c>
    </row>
    <row r="254" spans="1:17" ht="12.75" customHeight="1" x14ac:dyDescent="0.2">
      <c r="A254" s="25" t="s">
        <v>1418</v>
      </c>
      <c r="B254" s="25" t="s">
        <v>168</v>
      </c>
      <c r="C254" s="594" t="e">
        <f>+C253+E$155</f>
        <v>#N/A</v>
      </c>
      <c r="D254" s="107">
        <f>+MAX(D$152,P259)</f>
        <v>0.1074</v>
      </c>
      <c r="E254" s="107">
        <f>+MAX(D$152,P259)</f>
        <v>0.1074</v>
      </c>
      <c r="F254" s="35" t="s">
        <v>206</v>
      </c>
      <c r="I254" s="25"/>
      <c r="L254" s="446">
        <v>0</v>
      </c>
      <c r="M254" s="143">
        <v>0</v>
      </c>
      <c r="P254" s="36" t="e">
        <f>+C$253+C$151</f>
        <v>#N/A</v>
      </c>
      <c r="Q254" s="36" t="e">
        <f t="shared" si="37"/>
        <v>#N/A</v>
      </c>
    </row>
    <row r="255" spans="1:17" ht="12.75" customHeight="1" x14ac:dyDescent="0.2">
      <c r="A255" s="25" t="s">
        <v>165</v>
      </c>
      <c r="B255" s="25" t="s">
        <v>166</v>
      </c>
      <c r="C255" s="594" t="e">
        <f>(C252)-((VLOOKUP([1]Worksheet!C$24,L$256:M$257,2,TRUE))-(I151))</f>
        <v>#N/A</v>
      </c>
      <c r="D255" s="592" t="e">
        <f>+MAX(C$152,P255)</f>
        <v>#N/A</v>
      </c>
      <c r="E255" s="107" t="e">
        <f>+MAX(D$152,P255)</f>
        <v>#N/A</v>
      </c>
      <c r="I255" s="25"/>
      <c r="L255" s="446"/>
      <c r="M255" s="143"/>
      <c r="P255" s="36" t="e">
        <f>+C255+C$151</f>
        <v>#N/A</v>
      </c>
      <c r="Q255" s="36" t="e">
        <f t="shared" si="37"/>
        <v>#N/A</v>
      </c>
    </row>
    <row r="256" spans="1:17" ht="12.75" customHeight="1" x14ac:dyDescent="0.2">
      <c r="A256" s="25" t="s">
        <v>167</v>
      </c>
      <c r="B256" s="25" t="s">
        <v>168</v>
      </c>
      <c r="C256" s="594" t="e">
        <f>(C252)-((VLOOKUP([1]Worksheet!C$24,L$256:M$257,2,TRUE))-(I151+E151))</f>
        <v>#N/A</v>
      </c>
      <c r="D256" s="107">
        <f>+MAX(C$152,P259)</f>
        <v>0.1074</v>
      </c>
      <c r="E256" s="107">
        <f>+MAX(D$152,P259)</f>
        <v>0.1074</v>
      </c>
      <c r="F256" s="35" t="s">
        <v>206</v>
      </c>
      <c r="I256" s="25"/>
      <c r="L256" s="446"/>
      <c r="M256" s="143"/>
      <c r="P256" s="36" t="e">
        <f>+C$255+C$151</f>
        <v>#N/A</v>
      </c>
      <c r="Q256" s="36" t="e">
        <f t="shared" si="37"/>
        <v>#N/A</v>
      </c>
    </row>
    <row r="257" spans="1:17" ht="12.75" customHeight="1" x14ac:dyDescent="0.2">
      <c r="A257" s="18" t="s">
        <v>169</v>
      </c>
      <c r="B257" s="18" t="s">
        <v>170</v>
      </c>
      <c r="C257" s="142">
        <v>8.4900000000000003E-2</v>
      </c>
      <c r="D257" s="592">
        <f t="shared" ref="D257:D268" si="40">+MAX(C$152,P257)</f>
        <v>0.1149</v>
      </c>
      <c r="E257" s="107">
        <f t="shared" ref="E257:E268" si="41">+MAX(D$152,P257)</f>
        <v>0.1149</v>
      </c>
      <c r="F257" s="35" t="s">
        <v>342</v>
      </c>
      <c r="P257" s="36">
        <f>+C257+C$151</f>
        <v>0.1149</v>
      </c>
      <c r="Q257" s="36">
        <f t="shared" si="37"/>
        <v>0.03</v>
      </c>
    </row>
    <row r="258" spans="1:17" ht="12.75" customHeight="1" x14ac:dyDescent="0.2">
      <c r="A258" s="18" t="s">
        <v>171</v>
      </c>
      <c r="B258" s="18" t="s">
        <v>172</v>
      </c>
      <c r="C258" s="441">
        <f>+C257+E$155</f>
        <v>8.4900000000000003E-2</v>
      </c>
      <c r="D258" s="107">
        <f t="shared" si="40"/>
        <v>0.1149</v>
      </c>
      <c r="E258" s="107">
        <f t="shared" si="41"/>
        <v>0.1149</v>
      </c>
      <c r="F258" s="35" t="s">
        <v>206</v>
      </c>
      <c r="H258" s="444">
        <v>0</v>
      </c>
      <c r="I258" s="444">
        <v>249999</v>
      </c>
      <c r="J258" s="445">
        <v>499999</v>
      </c>
      <c r="K258" s="444">
        <v>749999</v>
      </c>
      <c r="L258" s="90">
        <v>0</v>
      </c>
      <c r="M258" s="32">
        <v>7.4999999999999997E-3</v>
      </c>
      <c r="N258" s="36">
        <f>+C$257-M258</f>
        <v>7.7399999999999997E-2</v>
      </c>
      <c r="P258" s="36">
        <f>+C$257+C$151</f>
        <v>0.1149</v>
      </c>
      <c r="Q258" s="36">
        <f t="shared" si="37"/>
        <v>0.03</v>
      </c>
    </row>
    <row r="259" spans="1:17" ht="12.75" customHeight="1" x14ac:dyDescent="0.2">
      <c r="A259" s="25" t="s">
        <v>173</v>
      </c>
      <c r="B259" s="25" t="s">
        <v>174</v>
      </c>
      <c r="C259" s="441">
        <f>+C257-VLOOKUP([1]Worksheet!C$24,L258:M261,2,TRUE)</f>
        <v>7.7399999999999997E-2</v>
      </c>
      <c r="D259" s="592">
        <f t="shared" si="40"/>
        <v>0.1074</v>
      </c>
      <c r="E259" s="107">
        <f t="shared" si="41"/>
        <v>0.1074</v>
      </c>
      <c r="F259" s="35" t="s">
        <v>342</v>
      </c>
      <c r="G259" s="443">
        <f>ROUND(395/12,0)</f>
        <v>33</v>
      </c>
      <c r="H259" s="140">
        <v>7.4999999999999997E-3</v>
      </c>
      <c r="I259" s="141">
        <v>8.5000000000000006E-3</v>
      </c>
      <c r="J259" s="140">
        <v>9.4999999999999998E-3</v>
      </c>
      <c r="K259" s="140">
        <v>1.0500000000000001E-2</v>
      </c>
      <c r="L259" s="90">
        <v>249999</v>
      </c>
      <c r="M259" s="32">
        <v>8.5000000000000006E-3</v>
      </c>
      <c r="N259" s="36">
        <f>+C$257-M259</f>
        <v>7.6399999999999996E-2</v>
      </c>
      <c r="P259" s="36">
        <f t="shared" ref="P259:P268" si="42">+C$259+C$151</f>
        <v>0.1074</v>
      </c>
      <c r="Q259" s="36">
        <f t="shared" si="37"/>
        <v>0.03</v>
      </c>
    </row>
    <row r="260" spans="1:17" ht="12.75" customHeight="1" x14ac:dyDescent="0.2">
      <c r="A260" s="25" t="s">
        <v>175</v>
      </c>
      <c r="B260" s="25" t="s">
        <v>176</v>
      </c>
      <c r="C260" s="434">
        <f>+C259+E$155</f>
        <v>7.7399999999999997E-2</v>
      </c>
      <c r="D260" s="107">
        <f t="shared" si="40"/>
        <v>0.1074</v>
      </c>
      <c r="E260" s="107">
        <f t="shared" si="41"/>
        <v>0.1074</v>
      </c>
      <c r="F260" s="35" t="s">
        <v>206</v>
      </c>
      <c r="G260" s="442">
        <f t="shared" ref="G260:G268" si="43">ROUND(395/12,0)</f>
        <v>33</v>
      </c>
      <c r="H260" s="435"/>
      <c r="I260" s="435"/>
      <c r="J260" s="435"/>
      <c r="K260" s="435"/>
      <c r="L260" s="91">
        <v>499999</v>
      </c>
      <c r="M260" s="32">
        <v>9.4999999999999998E-3</v>
      </c>
      <c r="N260" s="36">
        <f>+C$257-M260</f>
        <v>7.5400000000000009E-2</v>
      </c>
      <c r="P260" s="36">
        <f t="shared" si="42"/>
        <v>0.1074</v>
      </c>
      <c r="Q260" s="36">
        <f t="shared" si="37"/>
        <v>0.03</v>
      </c>
    </row>
    <row r="261" spans="1:17" ht="12.75" customHeight="1" x14ac:dyDescent="0.2">
      <c r="A261" s="25" t="s">
        <v>177</v>
      </c>
      <c r="B261" s="25" t="s">
        <v>178</v>
      </c>
      <c r="C261" s="142">
        <v>6.2399999999999997E-2</v>
      </c>
      <c r="D261" s="592">
        <f t="shared" si="40"/>
        <v>0.1074</v>
      </c>
      <c r="E261" s="107">
        <f t="shared" si="41"/>
        <v>0.1074</v>
      </c>
      <c r="F261" s="35" t="s">
        <v>342</v>
      </c>
      <c r="G261" s="442">
        <f t="shared" si="43"/>
        <v>33</v>
      </c>
      <c r="H261" s="435"/>
      <c r="I261" s="435"/>
      <c r="J261" s="435"/>
      <c r="K261" s="435"/>
      <c r="L261" s="90">
        <v>749999</v>
      </c>
      <c r="M261" s="32">
        <v>1.0500000000000001E-2</v>
      </c>
      <c r="N261" s="36">
        <f>+C$257-M261</f>
        <v>7.4400000000000008E-2</v>
      </c>
      <c r="P261" s="36">
        <f t="shared" si="42"/>
        <v>0.1074</v>
      </c>
      <c r="Q261" s="36">
        <f t="shared" si="37"/>
        <v>4.4999999999999998E-2</v>
      </c>
    </row>
    <row r="262" spans="1:17" ht="12.75" customHeight="1" x14ac:dyDescent="0.2">
      <c r="A262" s="25" t="s">
        <v>179</v>
      </c>
      <c r="B262" s="25" t="s">
        <v>180</v>
      </c>
      <c r="C262" s="441">
        <f>+C261+E$155</f>
        <v>6.2399999999999997E-2</v>
      </c>
      <c r="D262" s="107">
        <f t="shared" si="40"/>
        <v>0.1074</v>
      </c>
      <c r="E262" s="107">
        <f t="shared" si="41"/>
        <v>0.1074</v>
      </c>
      <c r="F262" s="35" t="s">
        <v>206</v>
      </c>
      <c r="G262" s="442">
        <f t="shared" si="43"/>
        <v>33</v>
      </c>
      <c r="H262" s="435"/>
      <c r="I262" s="435"/>
      <c r="J262" s="435"/>
      <c r="K262" s="435"/>
      <c r="P262" s="36">
        <f t="shared" si="42"/>
        <v>0.1074</v>
      </c>
      <c r="Q262" s="36">
        <f t="shared" si="37"/>
        <v>4.4999999999999998E-2</v>
      </c>
    </row>
    <row r="263" spans="1:17" ht="12.75" customHeight="1" x14ac:dyDescent="0.2">
      <c r="A263" s="25" t="s">
        <v>181</v>
      </c>
      <c r="B263" s="25" t="s">
        <v>182</v>
      </c>
      <c r="C263" s="142">
        <v>6.4399999999999999E-2</v>
      </c>
      <c r="D263" s="107">
        <f t="shared" si="40"/>
        <v>0.1074</v>
      </c>
      <c r="E263" s="107">
        <f t="shared" si="41"/>
        <v>0.1074</v>
      </c>
      <c r="F263" s="35" t="s">
        <v>342</v>
      </c>
      <c r="G263" s="442">
        <f t="shared" si="43"/>
        <v>33</v>
      </c>
      <c r="H263" s="435"/>
      <c r="I263" s="435"/>
      <c r="J263" s="435"/>
      <c r="K263" s="435"/>
      <c r="P263" s="36">
        <f t="shared" si="42"/>
        <v>0.1074</v>
      </c>
      <c r="Q263" s="36">
        <f t="shared" si="37"/>
        <v>4.2999999999999997E-2</v>
      </c>
    </row>
    <row r="264" spans="1:17" ht="12.75" customHeight="1" x14ac:dyDescent="0.2">
      <c r="A264" s="25" t="s">
        <v>183</v>
      </c>
      <c r="B264" s="25" t="s">
        <v>184</v>
      </c>
      <c r="C264" s="441">
        <f>+C263+E$155</f>
        <v>6.4399999999999999E-2</v>
      </c>
      <c r="D264" s="107">
        <f t="shared" si="40"/>
        <v>0.1074</v>
      </c>
      <c r="E264" s="107">
        <f t="shared" si="41"/>
        <v>0.1074</v>
      </c>
      <c r="F264" s="35" t="s">
        <v>206</v>
      </c>
      <c r="G264" s="442">
        <f t="shared" si="43"/>
        <v>33</v>
      </c>
      <c r="H264" s="435"/>
      <c r="I264" s="435"/>
      <c r="J264" s="435"/>
      <c r="K264" s="435"/>
      <c r="P264" s="36">
        <f t="shared" si="42"/>
        <v>0.1074</v>
      </c>
      <c r="Q264" s="36">
        <f t="shared" si="37"/>
        <v>4.2999999999999997E-2</v>
      </c>
    </row>
    <row r="265" spans="1:17" ht="12.75" customHeight="1" x14ac:dyDescent="0.2">
      <c r="A265" s="25" t="s">
        <v>185</v>
      </c>
      <c r="B265" s="25" t="s">
        <v>186</v>
      </c>
      <c r="C265" s="142">
        <v>6.1899999999999997E-2</v>
      </c>
      <c r="D265" s="107">
        <f t="shared" si="40"/>
        <v>0.1074</v>
      </c>
      <c r="E265" s="107">
        <f t="shared" si="41"/>
        <v>0.1074</v>
      </c>
      <c r="F265" s="35" t="s">
        <v>342</v>
      </c>
      <c r="G265" s="442">
        <f t="shared" si="43"/>
        <v>33</v>
      </c>
      <c r="H265" s="435"/>
      <c r="I265" s="435"/>
      <c r="J265" s="435"/>
      <c r="K265" s="435"/>
      <c r="P265" s="36">
        <f t="shared" si="42"/>
        <v>0.1074</v>
      </c>
      <c r="Q265" s="36">
        <f t="shared" si="37"/>
        <v>4.5499999999999999E-2</v>
      </c>
    </row>
    <row r="266" spans="1:17" ht="12.75" customHeight="1" x14ac:dyDescent="0.2">
      <c r="A266" s="25" t="s">
        <v>187</v>
      </c>
      <c r="B266" s="25" t="s">
        <v>188</v>
      </c>
      <c r="C266" s="441">
        <f>+C265+E$155</f>
        <v>6.1899999999999997E-2</v>
      </c>
      <c r="D266" s="107">
        <f t="shared" si="40"/>
        <v>0.1074</v>
      </c>
      <c r="E266" s="107">
        <f t="shared" si="41"/>
        <v>0.1074</v>
      </c>
      <c r="F266" s="35" t="s">
        <v>206</v>
      </c>
      <c r="G266" s="442">
        <f t="shared" si="43"/>
        <v>33</v>
      </c>
      <c r="H266" s="435"/>
      <c r="I266" s="435"/>
      <c r="J266" s="435"/>
      <c r="K266" s="435"/>
      <c r="P266" s="36">
        <f t="shared" si="42"/>
        <v>0.1074</v>
      </c>
      <c r="Q266" s="36">
        <f t="shared" si="37"/>
        <v>4.5499999999999999E-2</v>
      </c>
    </row>
    <row r="267" spans="1:17" ht="12.75" customHeight="1" x14ac:dyDescent="0.2">
      <c r="A267" s="25" t="s">
        <v>189</v>
      </c>
      <c r="B267" s="25" t="s">
        <v>190</v>
      </c>
      <c r="C267" s="142">
        <v>6.8400000000000002E-2</v>
      </c>
      <c r="D267" s="107">
        <f t="shared" si="40"/>
        <v>0.1074</v>
      </c>
      <c r="E267" s="107">
        <f t="shared" si="41"/>
        <v>0.1074</v>
      </c>
      <c r="F267" s="35" t="s">
        <v>342</v>
      </c>
      <c r="G267" s="442">
        <f t="shared" si="43"/>
        <v>33</v>
      </c>
      <c r="H267" s="435"/>
      <c r="I267" s="435"/>
      <c r="J267" s="435"/>
      <c r="K267" s="435"/>
      <c r="P267" s="36">
        <f t="shared" si="42"/>
        <v>0.1074</v>
      </c>
      <c r="Q267" s="36">
        <f t="shared" si="37"/>
        <v>3.8999999999999993E-2</v>
      </c>
    </row>
    <row r="268" spans="1:17" ht="12.75" customHeight="1" x14ac:dyDescent="0.2">
      <c r="A268" s="25" t="s">
        <v>191</v>
      </c>
      <c r="B268" s="25" t="s">
        <v>192</v>
      </c>
      <c r="C268" s="441">
        <f>+C267+E151</f>
        <v>7.0400000000000004E-2</v>
      </c>
      <c r="D268" s="107">
        <f t="shared" si="40"/>
        <v>0.1074</v>
      </c>
      <c r="E268" s="107">
        <f t="shared" si="41"/>
        <v>0.1074</v>
      </c>
      <c r="F268" s="35" t="s">
        <v>206</v>
      </c>
      <c r="G268" s="442">
        <f t="shared" si="43"/>
        <v>33</v>
      </c>
      <c r="H268" s="435"/>
      <c r="I268" s="435"/>
      <c r="J268" s="435"/>
      <c r="K268" s="435"/>
      <c r="P268" s="36">
        <f t="shared" si="42"/>
        <v>0.1074</v>
      </c>
      <c r="Q268" s="36">
        <f t="shared" si="37"/>
        <v>3.6999999999999991E-2</v>
      </c>
    </row>
    <row r="270" spans="1:17" ht="12.75" customHeight="1" x14ac:dyDescent="0.2">
      <c r="A270" s="20" t="s">
        <v>203</v>
      </c>
      <c r="B270" s="20"/>
      <c r="C270" s="35" t="s">
        <v>348</v>
      </c>
      <c r="E270" s="35" t="s">
        <v>349</v>
      </c>
    </row>
    <row r="271" spans="1:17" ht="12.75" customHeight="1" x14ac:dyDescent="0.2">
      <c r="A271" s="18" t="s">
        <v>204</v>
      </c>
      <c r="B271" s="18"/>
      <c r="C271" s="537">
        <v>3.7999999999999999E-2</v>
      </c>
      <c r="E271" s="432">
        <v>0.8</v>
      </c>
    </row>
    <row r="272" spans="1:17" ht="12.75" customHeight="1" x14ac:dyDescent="0.2">
      <c r="A272" s="18" t="s">
        <v>205</v>
      </c>
      <c r="B272" s="18"/>
      <c r="C272" s="537">
        <v>3.4000000000000002E-2</v>
      </c>
      <c r="E272" s="432">
        <v>0.65</v>
      </c>
    </row>
    <row r="273" spans="1:21" ht="12.75" customHeight="1" x14ac:dyDescent="0.2">
      <c r="A273" s="18" t="s">
        <v>206</v>
      </c>
      <c r="B273" s="18"/>
      <c r="C273" s="537">
        <v>0.04</v>
      </c>
    </row>
    <row r="274" spans="1:21" ht="12.75" customHeight="1" x14ac:dyDescent="0.2">
      <c r="I274" s="19"/>
      <c r="J274" s="19"/>
      <c r="K274" s="19"/>
      <c r="L274" s="19"/>
      <c r="M274" s="19"/>
    </row>
    <row r="275" spans="1:21" ht="12.75" customHeight="1" x14ac:dyDescent="0.2">
      <c r="A275" s="20" t="s">
        <v>207</v>
      </c>
      <c r="B275" s="20"/>
      <c r="C275" s="19"/>
      <c r="E275" s="108" t="s">
        <v>208</v>
      </c>
      <c r="K275" s="19"/>
      <c r="L275" s="19"/>
      <c r="M275" s="19"/>
    </row>
    <row r="276" spans="1:21" ht="12.75" customHeight="1" x14ac:dyDescent="0.2">
      <c r="A276" s="37" t="s">
        <v>209</v>
      </c>
      <c r="B276" s="35" t="s">
        <v>210</v>
      </c>
      <c r="C276" s="37">
        <v>1</v>
      </c>
      <c r="E276" s="37" t="s">
        <v>209</v>
      </c>
      <c r="F276" s="35" t="s">
        <v>210</v>
      </c>
      <c r="G276" s="37">
        <v>1</v>
      </c>
      <c r="K276" s="19"/>
      <c r="L276" s="19"/>
      <c r="M276" s="19"/>
    </row>
    <row r="277" spans="1:21" ht="12.75" customHeight="1" x14ac:dyDescent="0.2">
      <c r="A277" s="37" t="s">
        <v>211</v>
      </c>
      <c r="B277" s="35" t="s">
        <v>212</v>
      </c>
      <c r="C277" s="37">
        <v>12</v>
      </c>
      <c r="E277" s="37" t="s">
        <v>213</v>
      </c>
      <c r="F277" s="35" t="s">
        <v>214</v>
      </c>
      <c r="G277" s="37">
        <v>2</v>
      </c>
      <c r="K277" s="24"/>
      <c r="L277" s="19"/>
      <c r="M277" s="19"/>
    </row>
    <row r="278" spans="1:21" ht="12.75" customHeight="1" x14ac:dyDescent="0.2">
      <c r="A278" s="37" t="s">
        <v>215</v>
      </c>
      <c r="B278" s="35" t="s">
        <v>216</v>
      </c>
      <c r="C278" s="37">
        <v>24</v>
      </c>
      <c r="E278" s="37" t="s">
        <v>217</v>
      </c>
      <c r="F278" s="35" t="s">
        <v>218</v>
      </c>
      <c r="G278" s="37">
        <v>4</v>
      </c>
      <c r="K278" s="24"/>
      <c r="L278" s="19"/>
      <c r="M278" s="19"/>
    </row>
    <row r="279" spans="1:21" ht="12.75" customHeight="1" x14ac:dyDescent="0.2">
      <c r="A279" s="37" t="s">
        <v>219</v>
      </c>
      <c r="B279" s="35" t="s">
        <v>220</v>
      </c>
      <c r="C279" s="37">
        <v>26</v>
      </c>
      <c r="E279" s="37" t="s">
        <v>211</v>
      </c>
      <c r="F279" s="35" t="s">
        <v>212</v>
      </c>
      <c r="G279" s="37">
        <v>12</v>
      </c>
      <c r="K279" s="19"/>
      <c r="L279" s="19"/>
      <c r="M279" s="19"/>
    </row>
    <row r="280" spans="1:21" ht="12.75" customHeight="1" x14ac:dyDescent="0.2">
      <c r="A280" s="37" t="s">
        <v>221</v>
      </c>
      <c r="B280" s="35" t="s">
        <v>222</v>
      </c>
      <c r="C280" s="37">
        <v>52</v>
      </c>
      <c r="E280" s="37" t="s">
        <v>215</v>
      </c>
      <c r="F280" s="35" t="s">
        <v>216</v>
      </c>
      <c r="G280" s="37">
        <v>24</v>
      </c>
      <c r="K280" s="19"/>
      <c r="L280" s="19"/>
      <c r="M280" s="19"/>
    </row>
    <row r="281" spans="1:21" ht="12.75" customHeight="1" x14ac:dyDescent="0.2">
      <c r="A281" s="18" t="s">
        <v>223</v>
      </c>
      <c r="B281" s="18"/>
      <c r="C281" s="19"/>
      <c r="E281" s="37" t="s">
        <v>219</v>
      </c>
      <c r="F281" s="35" t="s">
        <v>220</v>
      </c>
      <c r="G281" s="37">
        <v>26</v>
      </c>
      <c r="K281" s="19"/>
      <c r="L281" s="19"/>
      <c r="M281" s="19"/>
    </row>
    <row r="282" spans="1:21" ht="12.75" customHeight="1" x14ac:dyDescent="0.2">
      <c r="A282" s="18"/>
      <c r="B282" s="18"/>
      <c r="C282" s="19"/>
      <c r="E282" s="37" t="s">
        <v>221</v>
      </c>
      <c r="F282" s="35" t="s">
        <v>222</v>
      </c>
      <c r="G282" s="37">
        <v>52</v>
      </c>
      <c r="K282" s="19"/>
      <c r="L282" s="19"/>
      <c r="M282" s="19"/>
    </row>
    <row r="283" spans="1:21" ht="12.75" customHeight="1" x14ac:dyDescent="0.2">
      <c r="A283" s="34" t="s">
        <v>224</v>
      </c>
      <c r="B283" s="34" t="s">
        <v>13</v>
      </c>
      <c r="C283" s="108" t="s">
        <v>225</v>
      </c>
      <c r="D283" s="27" t="s">
        <v>226</v>
      </c>
      <c r="H283" s="109" t="s">
        <v>227</v>
      </c>
      <c r="J283" s="45"/>
      <c r="K283" s="45"/>
      <c r="L283" s="45"/>
      <c r="O283" s="45"/>
      <c r="P283" s="45"/>
      <c r="Q283" s="45"/>
    </row>
    <row r="284" spans="1:21" ht="12.75" customHeight="1" x14ac:dyDescent="0.2">
      <c r="A284" s="20" t="s">
        <v>228</v>
      </c>
      <c r="B284" s="84">
        <f>+Worksheet!C50</f>
        <v>0</v>
      </c>
      <c r="C284" s="27" t="str">
        <f>+Worksheet!J20</f>
        <v>Brisbane</v>
      </c>
      <c r="D284" s="19" t="str">
        <f>+CONCATENATE(Worksheet!J16,"+",Worksheet!J17)</f>
        <v>2+0</v>
      </c>
      <c r="E284" s="35" t="e">
        <f>+VLOOKUP(B284,A287:A300,1,TRUE)</f>
        <v>#N/A</v>
      </c>
      <c r="F284" s="35" t="e">
        <f>+VLOOKUP(E284,A287:B301,2,FALSE)</f>
        <v>#N/A</v>
      </c>
      <c r="G284" s="35" t="str">
        <f>+CONCATENATE(C284,D284)</f>
        <v>Brisbane2+0</v>
      </c>
      <c r="H284" s="114" t="e">
        <f>+VLOOKUP(G284,LIVING,F284,FALSE)*52/12</f>
        <v>#REF!</v>
      </c>
      <c r="J284"/>
      <c r="K284"/>
      <c r="L284"/>
      <c r="O284"/>
      <c r="P284"/>
      <c r="Q284"/>
      <c r="R284"/>
      <c r="S284"/>
      <c r="T284"/>
      <c r="U284"/>
    </row>
    <row r="285" spans="1:21" ht="12.75" customHeight="1" x14ac:dyDescent="0.2">
      <c r="A285" s="20"/>
      <c r="B285" s="84"/>
      <c r="C285" s="27"/>
      <c r="D285" s="19"/>
      <c r="H285" s="94"/>
      <c r="J285"/>
      <c r="K285"/>
      <c r="L285"/>
      <c r="O285"/>
      <c r="P285"/>
      <c r="Q285"/>
      <c r="R285"/>
      <c r="S285"/>
      <c r="T285"/>
      <c r="U285"/>
    </row>
    <row r="286" spans="1:21" ht="12.75" customHeight="1" x14ac:dyDescent="0.2">
      <c r="A286" s="45" t="s">
        <v>229</v>
      </c>
      <c r="B286" s="45"/>
      <c r="C286" s="37"/>
      <c r="E286" s="38"/>
      <c r="H286" s="41"/>
      <c r="I286" s="919"/>
      <c r="J286" s="919"/>
      <c r="K286" s="919"/>
      <c r="L286" s="919"/>
    </row>
    <row r="287" spans="1:21" ht="12.75" customHeight="1" x14ac:dyDescent="0.2">
      <c r="A287" s="139">
        <v>1</v>
      </c>
      <c r="B287" s="37">
        <v>2</v>
      </c>
      <c r="C287" s="37" t="s">
        <v>230</v>
      </c>
      <c r="E287" s="38"/>
      <c r="H287" s="41"/>
      <c r="I287" s="41"/>
      <c r="J287" s="85"/>
      <c r="K287" s="41"/>
      <c r="L287" s="85"/>
    </row>
    <row r="288" spans="1:21" ht="12.75" customHeight="1" x14ac:dyDescent="0.2">
      <c r="A288" s="139">
        <f>+DropINTable!AC$11</f>
        <v>27000</v>
      </c>
      <c r="B288" s="37">
        <v>3</v>
      </c>
      <c r="C288" s="37" t="s">
        <v>231</v>
      </c>
      <c r="E288" s="38"/>
      <c r="H288" s="41"/>
      <c r="I288" s="85"/>
      <c r="J288" s="85"/>
      <c r="K288" s="85"/>
      <c r="L288" s="85"/>
    </row>
    <row r="289" spans="1:12" ht="12.75" customHeight="1" x14ac:dyDescent="0.2">
      <c r="A289" s="139">
        <f>+DropINTable!AD$11</f>
        <v>41000</v>
      </c>
      <c r="B289" s="37">
        <v>4</v>
      </c>
      <c r="C289" s="37" t="s">
        <v>232</v>
      </c>
      <c r="E289" s="38"/>
      <c r="H289" s="41"/>
      <c r="I289" s="85"/>
      <c r="J289" s="85"/>
      <c r="K289" s="85"/>
      <c r="L289" s="85"/>
    </row>
    <row r="290" spans="1:12" ht="12.75" customHeight="1" x14ac:dyDescent="0.2">
      <c r="A290" s="139">
        <f>+DropINTable!AE$11</f>
        <v>54000</v>
      </c>
      <c r="B290" s="37">
        <v>5</v>
      </c>
      <c r="C290" s="37" t="s">
        <v>233</v>
      </c>
      <c r="E290" s="38"/>
      <c r="H290" s="41"/>
      <c r="I290" s="85"/>
      <c r="J290" s="85"/>
      <c r="K290" s="85"/>
      <c r="L290" s="85"/>
    </row>
    <row r="291" spans="1:12" ht="12.75" customHeight="1" x14ac:dyDescent="0.2">
      <c r="A291" s="139">
        <f>+DropINTable!AF$11</f>
        <v>68000</v>
      </c>
      <c r="B291" s="37">
        <v>6</v>
      </c>
      <c r="C291" s="37" t="s">
        <v>234</v>
      </c>
      <c r="E291" s="38"/>
      <c r="H291" s="41"/>
      <c r="I291" s="85"/>
      <c r="J291" s="85"/>
      <c r="K291" s="85"/>
      <c r="L291" s="85"/>
    </row>
    <row r="292" spans="1:12" ht="12.75" customHeight="1" x14ac:dyDescent="0.2">
      <c r="A292" s="139">
        <f>+DropINTable!AG$11</f>
        <v>82000</v>
      </c>
      <c r="B292" s="37">
        <v>7</v>
      </c>
      <c r="C292" s="37" t="s">
        <v>235</v>
      </c>
      <c r="E292" s="38"/>
      <c r="H292" s="41"/>
      <c r="I292" s="85"/>
      <c r="J292" s="85"/>
      <c r="K292" s="85"/>
      <c r="L292" s="85"/>
    </row>
    <row r="293" spans="1:12" ht="12.75" customHeight="1" x14ac:dyDescent="0.2">
      <c r="A293" s="139">
        <f>+DropINTable!AH$11</f>
        <v>109000</v>
      </c>
      <c r="B293" s="37">
        <v>8</v>
      </c>
      <c r="C293" s="37" t="s">
        <v>236</v>
      </c>
      <c r="E293" s="38"/>
    </row>
    <row r="294" spans="1:12" ht="12.75" customHeight="1" x14ac:dyDescent="0.2">
      <c r="A294" s="139">
        <f>+DropINTable!AI$11</f>
        <v>136000</v>
      </c>
      <c r="B294" s="37">
        <v>9</v>
      </c>
      <c r="C294" s="37" t="s">
        <v>237</v>
      </c>
      <c r="E294" s="38"/>
    </row>
    <row r="295" spans="1:12" ht="12.75" customHeight="1" x14ac:dyDescent="0.2">
      <c r="A295" s="139">
        <f>+DropINTable!AJ$11</f>
        <v>163000</v>
      </c>
      <c r="B295" s="37">
        <v>10</v>
      </c>
      <c r="C295" s="37" t="s">
        <v>238</v>
      </c>
      <c r="E295" s="38"/>
    </row>
    <row r="296" spans="1:12" ht="12.75" customHeight="1" x14ac:dyDescent="0.2">
      <c r="A296" s="139">
        <f>+DropINTable!AK$11</f>
        <v>191000</v>
      </c>
      <c r="B296" s="37">
        <v>11</v>
      </c>
      <c r="C296" s="37" t="s">
        <v>239</v>
      </c>
      <c r="E296" s="38"/>
    </row>
    <row r="297" spans="1:12" ht="12.75" customHeight="1" x14ac:dyDescent="0.2">
      <c r="A297" s="139">
        <f>+DropINTable!AL$11</f>
        <v>218000</v>
      </c>
      <c r="B297" s="37">
        <v>12</v>
      </c>
      <c r="C297" s="37" t="s">
        <v>240</v>
      </c>
      <c r="E297" s="38"/>
    </row>
    <row r="298" spans="1:12" ht="12.75" customHeight="1" x14ac:dyDescent="0.2">
      <c r="A298" s="139">
        <f>+DropINTable!AM$11</f>
        <v>272000</v>
      </c>
      <c r="B298" s="37">
        <v>13</v>
      </c>
      <c r="C298" s="37" t="s">
        <v>241</v>
      </c>
    </row>
    <row r="299" spans="1:12" ht="12.75" customHeight="1" x14ac:dyDescent="0.2">
      <c r="A299" s="139">
        <f>+DropINTable!AN$11</f>
        <v>341000</v>
      </c>
      <c r="B299" s="37">
        <v>14</v>
      </c>
      <c r="C299" s="37" t="s">
        <v>242</v>
      </c>
    </row>
    <row r="300" spans="1:12" ht="12.75" customHeight="1" x14ac:dyDescent="0.2">
      <c r="A300" s="139">
        <f>+DropINTable!AO$11</f>
        <v>409000</v>
      </c>
      <c r="B300" s="37">
        <v>15</v>
      </c>
      <c r="C300" s="37" t="s">
        <v>243</v>
      </c>
    </row>
    <row r="301" spans="1:12" ht="12.75" customHeight="1" x14ac:dyDescent="0.2">
      <c r="A301" s="148"/>
    </row>
    <row r="304" spans="1:12" ht="12.75" customHeight="1" x14ac:dyDescent="0.2">
      <c r="A304" s="20" t="s">
        <v>244</v>
      </c>
      <c r="B304" s="20"/>
      <c r="H304" s="106"/>
      <c r="I304" s="426"/>
    </row>
    <row r="305" spans="1:12" ht="12.75" customHeight="1" x14ac:dyDescent="0.2">
      <c r="A305" s="135">
        <v>18200</v>
      </c>
      <c r="B305" s="133">
        <v>0</v>
      </c>
      <c r="C305" s="136">
        <v>0</v>
      </c>
      <c r="D305" s="19"/>
      <c r="H305" s="103"/>
      <c r="I305" s="562"/>
    </row>
    <row r="306" spans="1:12" ht="12.75" customHeight="1" x14ac:dyDescent="0.2">
      <c r="A306" s="135">
        <v>45000</v>
      </c>
      <c r="B306" s="133">
        <v>0.16</v>
      </c>
      <c r="C306" s="136">
        <f>+(A306-A305)*B306</f>
        <v>4288</v>
      </c>
      <c r="D306" s="19"/>
      <c r="H306" s="104"/>
      <c r="I306" s="104"/>
    </row>
    <row r="307" spans="1:12" ht="12.75" customHeight="1" x14ac:dyDescent="0.2">
      <c r="A307" s="135">
        <v>135000</v>
      </c>
      <c r="B307" s="133">
        <v>0.3</v>
      </c>
      <c r="C307" s="136">
        <f>+((A307-A306)*B307)+C306</f>
        <v>31288</v>
      </c>
      <c r="D307" s="19"/>
      <c r="H307" s="104"/>
      <c r="I307" s="105"/>
    </row>
    <row r="308" spans="1:12" ht="12.75" customHeight="1" x14ac:dyDescent="0.2">
      <c r="A308" s="135">
        <v>190000</v>
      </c>
      <c r="B308" s="133">
        <v>0.37</v>
      </c>
      <c r="C308" s="136">
        <f>+((A308-A307)*B308)+C307</f>
        <v>51638</v>
      </c>
      <c r="D308" s="19"/>
      <c r="H308" s="104"/>
      <c r="I308" s="105"/>
    </row>
    <row r="309" spans="1:12" ht="12.75" customHeight="1" x14ac:dyDescent="0.2">
      <c r="A309" s="137"/>
      <c r="B309" s="133">
        <v>0.45</v>
      </c>
      <c r="C309" s="138"/>
      <c r="D309" s="19"/>
      <c r="E309" s="19"/>
      <c r="H309" s="104"/>
      <c r="I309" s="105"/>
      <c r="J309" s="19"/>
    </row>
    <row r="310" spans="1:12" ht="12.75" customHeight="1" x14ac:dyDescent="0.2">
      <c r="A310" s="29" t="s">
        <v>91</v>
      </c>
      <c r="B310" s="29"/>
      <c r="C310" s="19"/>
      <c r="D310" s="19"/>
      <c r="E310" s="19"/>
      <c r="H310" s="104"/>
      <c r="I310" s="105"/>
      <c r="J310" s="19"/>
    </row>
    <row r="311" spans="1:12" ht="12.75" customHeight="1" x14ac:dyDescent="0.2">
      <c r="A311" s="28" t="s">
        <v>245</v>
      </c>
      <c r="B311" s="134">
        <v>0.02</v>
      </c>
      <c r="C311" s="134"/>
      <c r="E311" s="19"/>
      <c r="H311" s="105"/>
      <c r="I311" s="426"/>
      <c r="J311" s="19"/>
    </row>
    <row r="312" spans="1:12" ht="12.75" customHeight="1" x14ac:dyDescent="0.2">
      <c r="A312" s="28" t="s">
        <v>246</v>
      </c>
      <c r="B312" s="35"/>
      <c r="C312" s="19"/>
      <c r="E312" s="19"/>
      <c r="H312" s="105"/>
      <c r="I312" s="426"/>
      <c r="J312" s="19"/>
    </row>
    <row r="313" spans="1:12" ht="12.75" customHeight="1" x14ac:dyDescent="0.2">
      <c r="A313" s="28" t="s">
        <v>74</v>
      </c>
      <c r="B313" s="133">
        <v>27222</v>
      </c>
      <c r="C313" s="19"/>
      <c r="E313" s="19"/>
      <c r="H313" s="43"/>
      <c r="I313" s="41"/>
    </row>
    <row r="314" spans="1:12" ht="12.75" customHeight="1" x14ac:dyDescent="0.2">
      <c r="A314" s="28" t="s">
        <v>75</v>
      </c>
      <c r="B314" s="133">
        <v>34027</v>
      </c>
      <c r="C314" s="19"/>
      <c r="E314" s="19"/>
      <c r="H314" s="106"/>
      <c r="I314" s="100"/>
    </row>
    <row r="315" spans="1:12" ht="12.75" customHeight="1" x14ac:dyDescent="0.2">
      <c r="H315" s="102"/>
      <c r="I315" s="101"/>
    </row>
    <row r="316" spans="1:12" ht="12.75" customHeight="1" x14ac:dyDescent="0.2">
      <c r="A316" s="29" t="s">
        <v>247</v>
      </c>
      <c r="C316" s="35" t="str">
        <f>+Worksheet!J18</f>
        <v>No</v>
      </c>
      <c r="D316" s="45" t="e">
        <f>IF(C316="yes",0,IF(C316="N/A",0,+(C318*F318)))</f>
        <v>#N/A</v>
      </c>
      <c r="H316" s="102"/>
      <c r="I316" s="101"/>
    </row>
    <row r="317" spans="1:12" ht="12.75" customHeight="1" x14ac:dyDescent="0.2">
      <c r="D317" s="35" t="s">
        <v>248</v>
      </c>
      <c r="E317" s="117">
        <f>+IF(Worksheet!J17=0,0,IF(Worksheet!J17=1,0,Worksheet!J17-1))</f>
        <v>0</v>
      </c>
      <c r="H317" s="42"/>
    </row>
    <row r="318" spans="1:12" ht="12.75" customHeight="1" x14ac:dyDescent="0.2">
      <c r="A318" s="37" t="s">
        <v>249</v>
      </c>
      <c r="B318" s="37" t="str">
        <f>+IF(D284="1+0","Single","Family")</f>
        <v>Family</v>
      </c>
      <c r="C318" s="45">
        <f>+B284</f>
        <v>0</v>
      </c>
      <c r="D318" s="133">
        <v>1500</v>
      </c>
      <c r="E318" s="35" t="e">
        <f>+IF(B318="single",VLOOKUP(C318,A320:A324,1,TRUE),IF(B318="Family",VLOOKUP(C318,A327:A331,1,TRUE),0))</f>
        <v>#N/A</v>
      </c>
      <c r="F318" s="32" t="e">
        <f>+IF(B318="single",VLOOKUP(E318,A320:B324,2,TRUE),IF(B318="Family",VLOOKUP(E318,A327:B331,2,TRUE),0))</f>
        <v>#N/A</v>
      </c>
      <c r="H318" s="165"/>
      <c r="I318" s="426"/>
      <c r="J318" s="426"/>
      <c r="K318" s="426"/>
      <c r="L318" s="426"/>
    </row>
    <row r="319" spans="1:12" ht="12.75" customHeight="1" x14ac:dyDescent="0.2">
      <c r="A319" s="37" t="s">
        <v>250</v>
      </c>
      <c r="B319" s="35"/>
      <c r="H319" s="920"/>
      <c r="I319" s="921"/>
      <c r="J319" s="921"/>
      <c r="K319" s="921"/>
      <c r="L319" s="921"/>
    </row>
    <row r="320" spans="1:12" ht="12.75" customHeight="1" x14ac:dyDescent="0.2">
      <c r="A320" s="135">
        <v>1</v>
      </c>
      <c r="B320" s="143">
        <v>0</v>
      </c>
      <c r="C320" s="170"/>
      <c r="H320" s="104"/>
      <c r="I320" s="166"/>
      <c r="J320" s="166"/>
      <c r="K320" s="166"/>
      <c r="L320" s="166"/>
    </row>
    <row r="321" spans="1:15" ht="12.75" customHeight="1" x14ac:dyDescent="0.2">
      <c r="A321" s="135">
        <v>101000</v>
      </c>
      <c r="B321" s="143">
        <v>0</v>
      </c>
      <c r="C321" s="170"/>
      <c r="H321" s="103"/>
      <c r="I321" s="166"/>
      <c r="J321" s="166"/>
      <c r="K321" s="166"/>
      <c r="L321" s="166"/>
    </row>
    <row r="322" spans="1:15" ht="12.75" customHeight="1" x14ac:dyDescent="0.2">
      <c r="A322" s="135">
        <v>101001</v>
      </c>
      <c r="B322" s="143">
        <v>0.01</v>
      </c>
      <c r="C322" s="170"/>
      <c r="H322" s="103"/>
      <c r="I322" s="166"/>
      <c r="J322" s="166"/>
      <c r="K322" s="166"/>
      <c r="L322" s="166"/>
    </row>
    <row r="323" spans="1:15" ht="12.75" customHeight="1" x14ac:dyDescent="0.2">
      <c r="A323" s="135">
        <v>118001</v>
      </c>
      <c r="B323" s="143">
        <v>1.2500000000000001E-2</v>
      </c>
      <c r="C323" s="170"/>
      <c r="H323" s="103"/>
      <c r="I323" s="167"/>
      <c r="J323" s="167"/>
      <c r="K323" s="168"/>
      <c r="L323" s="168"/>
    </row>
    <row r="324" spans="1:15" ht="12.75" customHeight="1" x14ac:dyDescent="0.2">
      <c r="A324" s="135">
        <v>158001</v>
      </c>
      <c r="B324" s="143">
        <v>1.4999999999999999E-2</v>
      </c>
      <c r="C324" s="170"/>
      <c r="H324" s="169"/>
      <c r="I324" s="426"/>
      <c r="J324" s="426"/>
      <c r="K324" s="426"/>
      <c r="L324" s="426"/>
    </row>
    <row r="325" spans="1:15" ht="12.75" customHeight="1" x14ac:dyDescent="0.2">
      <c r="G325" s="19"/>
      <c r="H325" s="101"/>
      <c r="I325" s="101"/>
      <c r="J325" s="19"/>
      <c r="K325" s="19"/>
      <c r="L325" s="19"/>
      <c r="M325" s="19"/>
      <c r="N325" s="19"/>
      <c r="O325" s="19"/>
    </row>
    <row r="326" spans="1:15" ht="12.75" customHeight="1" x14ac:dyDescent="0.2">
      <c r="A326" s="37" t="s">
        <v>226</v>
      </c>
      <c r="G326" s="19"/>
      <c r="H326" s="101"/>
      <c r="I326" s="101"/>
      <c r="J326" s="19"/>
      <c r="K326" s="19"/>
      <c r="L326" s="19"/>
      <c r="M326" s="19"/>
      <c r="N326" s="19"/>
      <c r="O326" s="19"/>
    </row>
    <row r="327" spans="1:15" ht="12.75" customHeight="1" x14ac:dyDescent="0.2">
      <c r="A327" s="135">
        <v>1</v>
      </c>
      <c r="B327" s="143">
        <v>0</v>
      </c>
      <c r="C327" s="170"/>
      <c r="D327" s="170"/>
      <c r="G327" s="19"/>
      <c r="H327" s="102"/>
      <c r="I327"/>
      <c r="J327" s="19"/>
      <c r="K327" s="19"/>
      <c r="L327" s="19"/>
      <c r="M327" s="19"/>
      <c r="N327" s="19"/>
      <c r="O327" s="19"/>
    </row>
    <row r="328" spans="1:15" ht="12.75" customHeight="1" x14ac:dyDescent="0.2">
      <c r="A328" s="135">
        <v>202000</v>
      </c>
      <c r="B328" s="143">
        <v>0</v>
      </c>
      <c r="C328" s="170"/>
      <c r="D328" s="170"/>
      <c r="G328" s="19"/>
      <c r="H328" s="102"/>
      <c r="I328"/>
      <c r="J328" s="19"/>
      <c r="K328" s="19"/>
      <c r="L328" s="19"/>
      <c r="M328" s="19"/>
      <c r="N328" s="19"/>
      <c r="O328" s="19"/>
    </row>
    <row r="329" spans="1:15" ht="12.75" customHeight="1" x14ac:dyDescent="0.2">
      <c r="A329" s="135">
        <v>202001</v>
      </c>
      <c r="B329" s="143">
        <v>0.01</v>
      </c>
      <c r="C329" s="170"/>
      <c r="D329" s="170"/>
      <c r="G329" s="19"/>
      <c r="H329" s="19"/>
      <c r="I329" s="19"/>
      <c r="J329" s="19"/>
      <c r="K329" s="19"/>
      <c r="L329" s="19"/>
      <c r="M329" s="19"/>
      <c r="N329" s="19"/>
      <c r="O329" s="19"/>
    </row>
    <row r="330" spans="1:15" ht="12.75" customHeight="1" x14ac:dyDescent="0.2">
      <c r="A330" s="135">
        <v>236001</v>
      </c>
      <c r="B330" s="143">
        <v>1.2500000000000001E-2</v>
      </c>
      <c r="C330" s="170"/>
      <c r="D330" s="170"/>
      <c r="G330" s="19"/>
      <c r="H330" s="19"/>
      <c r="I330" s="19"/>
      <c r="J330" s="19"/>
      <c r="K330" s="19"/>
      <c r="L330" s="19"/>
      <c r="M330" s="19"/>
      <c r="N330" s="19"/>
      <c r="O330" s="19"/>
    </row>
    <row r="331" spans="1:15" ht="12.75" customHeight="1" x14ac:dyDescent="0.2">
      <c r="A331" s="135">
        <v>316001</v>
      </c>
      <c r="B331" s="143">
        <v>1.4999999999999999E-2</v>
      </c>
      <c r="C331" s="170"/>
      <c r="D331" s="170"/>
      <c r="G331" s="19"/>
      <c r="H331" s="19"/>
      <c r="I331" s="19"/>
      <c r="J331" s="19"/>
      <c r="K331" s="19"/>
      <c r="L331" s="19"/>
      <c r="M331" s="19"/>
      <c r="N331" s="19"/>
      <c r="O331" s="19"/>
    </row>
    <row r="332" spans="1:15" ht="12.75" customHeight="1" x14ac:dyDescent="0.2">
      <c r="F332" s="19"/>
      <c r="G332" s="19"/>
      <c r="H332" s="19"/>
      <c r="I332" s="19"/>
      <c r="J332" s="19"/>
      <c r="K332" s="19"/>
      <c r="L332" s="19"/>
      <c r="M332" s="19"/>
      <c r="N332" s="19"/>
      <c r="O332" s="19"/>
    </row>
    <row r="333" spans="1:15" ht="12.75" customHeight="1" x14ac:dyDescent="0.2">
      <c r="F333" s="19"/>
      <c r="G333" s="19"/>
      <c r="H333" s="19"/>
      <c r="I333" s="19"/>
      <c r="J333" s="19"/>
      <c r="K333" s="19"/>
      <c r="L333" s="19"/>
      <c r="M333" s="19"/>
      <c r="N333" s="19"/>
      <c r="O333" s="19"/>
    </row>
    <row r="334" spans="1:15" ht="12.75" customHeight="1" x14ac:dyDescent="0.2">
      <c r="A334" s="29" t="s">
        <v>1627</v>
      </c>
      <c r="B334" s="451"/>
      <c r="F334" s="19"/>
      <c r="G334" s="19"/>
      <c r="H334" s="19"/>
      <c r="I334" s="19"/>
      <c r="J334" s="19"/>
      <c r="K334" s="19"/>
      <c r="L334" s="19"/>
      <c r="M334" s="19"/>
      <c r="N334" s="19"/>
      <c r="O334" s="19"/>
    </row>
    <row r="335" spans="1:15" ht="12.75" customHeight="1" x14ac:dyDescent="0.2">
      <c r="A335" s="139">
        <v>0</v>
      </c>
      <c r="B335" s="529">
        <v>0</v>
      </c>
      <c r="F335" s="19"/>
      <c r="G335" s="19"/>
      <c r="H335" s="19"/>
      <c r="I335" s="19"/>
      <c r="J335" s="19"/>
      <c r="K335" s="19"/>
      <c r="L335" s="19"/>
      <c r="M335" s="19"/>
      <c r="N335" s="19"/>
      <c r="O335" s="19"/>
    </row>
    <row r="336" spans="1:15" ht="12.75" customHeight="1" x14ac:dyDescent="0.2">
      <c r="A336" s="139">
        <v>56156</v>
      </c>
      <c r="B336" s="529">
        <v>0.01</v>
      </c>
      <c r="F336" s="19"/>
      <c r="G336" s="19"/>
      <c r="H336" s="19"/>
      <c r="I336" s="19"/>
      <c r="J336" s="19"/>
      <c r="K336" s="19"/>
      <c r="L336" s="19"/>
      <c r="M336" s="19"/>
      <c r="N336" s="19"/>
      <c r="O336" s="19"/>
    </row>
    <row r="337" spans="1:15" ht="12.75" customHeight="1" x14ac:dyDescent="0.2">
      <c r="A337" s="139">
        <v>64838</v>
      </c>
      <c r="B337" s="529">
        <v>0.02</v>
      </c>
      <c r="F337" s="19"/>
      <c r="G337" s="19"/>
      <c r="H337" s="19"/>
      <c r="I337" s="19"/>
      <c r="J337" s="19"/>
      <c r="K337" s="19"/>
      <c r="L337" s="19"/>
      <c r="M337" s="19"/>
      <c r="N337" s="19"/>
      <c r="O337" s="19"/>
    </row>
    <row r="338" spans="1:15" ht="12.75" customHeight="1" x14ac:dyDescent="0.2">
      <c r="A338" s="139">
        <v>68727</v>
      </c>
      <c r="B338" s="529">
        <v>2.5000000000000001E-2</v>
      </c>
      <c r="F338" s="19"/>
      <c r="G338" s="19"/>
      <c r="H338" s="19"/>
      <c r="I338" s="19"/>
      <c r="J338" s="19"/>
      <c r="K338" s="19"/>
      <c r="L338" s="19"/>
      <c r="M338" s="19"/>
      <c r="N338" s="19"/>
      <c r="O338" s="19"/>
    </row>
    <row r="339" spans="1:15" ht="12.75" customHeight="1" x14ac:dyDescent="0.2">
      <c r="A339" s="139">
        <v>72852</v>
      </c>
      <c r="B339" s="529">
        <v>0.03</v>
      </c>
      <c r="F339" s="19"/>
      <c r="G339" s="19"/>
      <c r="H339" s="19"/>
      <c r="I339" s="19"/>
      <c r="J339" s="19"/>
      <c r="K339" s="19"/>
      <c r="L339" s="19"/>
      <c r="M339" s="19"/>
      <c r="N339" s="19"/>
      <c r="O339" s="19"/>
    </row>
    <row r="340" spans="1:15" ht="12.75" customHeight="1" x14ac:dyDescent="0.2">
      <c r="A340" s="139">
        <v>77223</v>
      </c>
      <c r="B340" s="529">
        <v>3.5000000000000003E-2</v>
      </c>
      <c r="F340" s="19"/>
      <c r="G340" s="19"/>
      <c r="H340" s="19"/>
      <c r="I340" s="19"/>
      <c r="J340" s="19"/>
      <c r="K340" s="19"/>
      <c r="L340" s="19"/>
      <c r="M340" s="19"/>
      <c r="N340" s="19"/>
      <c r="O340" s="19"/>
    </row>
    <row r="341" spans="1:15" ht="12.75" customHeight="1" x14ac:dyDescent="0.2">
      <c r="A341" s="139">
        <v>81856</v>
      </c>
      <c r="B341" s="529">
        <v>0.04</v>
      </c>
      <c r="F341" s="19"/>
      <c r="G341" s="19"/>
      <c r="H341" s="19"/>
      <c r="I341" s="19"/>
      <c r="J341" s="19"/>
      <c r="K341" s="19"/>
      <c r="L341" s="19"/>
      <c r="M341" s="19"/>
      <c r="N341" s="19"/>
      <c r="O341" s="19"/>
    </row>
    <row r="342" spans="1:15" ht="12.75" customHeight="1" x14ac:dyDescent="0.2">
      <c r="A342" s="139">
        <v>86767</v>
      </c>
      <c r="B342" s="529">
        <v>4.4999999999999998E-2</v>
      </c>
      <c r="F342" s="19"/>
      <c r="G342" s="19"/>
      <c r="H342" s="19"/>
      <c r="I342" s="19"/>
      <c r="J342" s="19"/>
      <c r="K342" s="19"/>
      <c r="L342" s="19"/>
      <c r="M342" s="19"/>
      <c r="N342" s="19"/>
      <c r="O342" s="19"/>
    </row>
    <row r="343" spans="1:15" ht="12.75" customHeight="1" x14ac:dyDescent="0.2">
      <c r="A343" s="139">
        <v>91974</v>
      </c>
      <c r="B343" s="529">
        <v>0.05</v>
      </c>
      <c r="F343" s="19"/>
      <c r="G343" s="19"/>
      <c r="H343" s="19"/>
      <c r="I343" s="19"/>
      <c r="J343" s="19"/>
      <c r="K343" s="19"/>
      <c r="L343" s="19"/>
      <c r="M343" s="19"/>
      <c r="N343" s="19"/>
      <c r="O343" s="19"/>
    </row>
    <row r="344" spans="1:15" ht="12.75" customHeight="1" x14ac:dyDescent="0.2">
      <c r="A344" s="139">
        <v>97492</v>
      </c>
      <c r="B344" s="529">
        <v>5.5E-2</v>
      </c>
      <c r="F344" s="19"/>
      <c r="G344" s="19"/>
      <c r="H344" s="19"/>
      <c r="I344" s="19"/>
      <c r="J344" s="19"/>
      <c r="K344" s="19"/>
      <c r="L344" s="19"/>
      <c r="M344" s="19"/>
      <c r="N344" s="19"/>
      <c r="O344" s="19"/>
    </row>
    <row r="345" spans="1:15" ht="12.75" customHeight="1" x14ac:dyDescent="0.2">
      <c r="A345" s="139">
        <v>103342</v>
      </c>
      <c r="B345" s="529">
        <v>0.06</v>
      </c>
      <c r="F345" s="19"/>
      <c r="G345" s="19"/>
      <c r="H345" s="19"/>
      <c r="I345" s="19"/>
      <c r="J345" s="19"/>
      <c r="K345" s="19"/>
      <c r="L345" s="19"/>
      <c r="M345" s="19"/>
      <c r="N345" s="19"/>
      <c r="O345" s="19"/>
    </row>
    <row r="346" spans="1:15" ht="12.75" customHeight="1" x14ac:dyDescent="0.2">
      <c r="A346" s="139">
        <v>109543</v>
      </c>
      <c r="B346" s="529">
        <v>6.5000000000000002E-2</v>
      </c>
      <c r="F346" s="19"/>
      <c r="G346" s="19"/>
      <c r="H346" s="19"/>
      <c r="I346" s="19"/>
      <c r="J346" s="19"/>
      <c r="K346" s="19"/>
      <c r="L346" s="19"/>
      <c r="M346" s="19"/>
      <c r="N346" s="19"/>
      <c r="O346" s="19"/>
    </row>
    <row r="347" spans="1:15" ht="12.75" customHeight="1" x14ac:dyDescent="0.2">
      <c r="A347" s="139">
        <v>116116</v>
      </c>
      <c r="B347" s="529">
        <v>7.0000000000000007E-2</v>
      </c>
      <c r="F347" s="19"/>
      <c r="G347" s="19"/>
      <c r="H347" s="19"/>
      <c r="I347" s="19"/>
      <c r="J347" s="19"/>
      <c r="K347" s="19"/>
      <c r="L347" s="19"/>
      <c r="M347" s="19"/>
      <c r="N347" s="19"/>
      <c r="O347" s="19"/>
    </row>
    <row r="348" spans="1:15" ht="12.75" customHeight="1" x14ac:dyDescent="0.2">
      <c r="A348" s="139">
        <v>123082</v>
      </c>
      <c r="B348" s="529">
        <v>7.4999999999999997E-2</v>
      </c>
      <c r="F348" s="19"/>
      <c r="G348" s="19"/>
      <c r="H348" s="19"/>
      <c r="I348" s="19"/>
      <c r="J348" s="19"/>
      <c r="K348" s="19"/>
      <c r="L348" s="19"/>
      <c r="M348" s="19"/>
      <c r="N348" s="19"/>
      <c r="O348" s="19"/>
    </row>
    <row r="349" spans="1:15" ht="12.75" customHeight="1" x14ac:dyDescent="0.2">
      <c r="A349" s="139">
        <v>130467</v>
      </c>
      <c r="B349" s="529">
        <v>0.08</v>
      </c>
      <c r="F349" s="19"/>
      <c r="G349" s="19"/>
      <c r="H349" s="19"/>
      <c r="I349" s="19"/>
      <c r="J349" s="19"/>
      <c r="K349" s="19"/>
      <c r="L349" s="19"/>
      <c r="M349" s="19"/>
      <c r="N349" s="19"/>
      <c r="O349" s="19"/>
    </row>
    <row r="350" spans="1:15" ht="12.75" customHeight="1" x14ac:dyDescent="0.2">
      <c r="A350" s="139">
        <v>138295</v>
      </c>
      <c r="B350" s="529">
        <v>8.5000000000000006E-2</v>
      </c>
      <c r="F350" s="19"/>
      <c r="G350" s="19"/>
      <c r="H350" s="19"/>
      <c r="I350" s="19"/>
      <c r="J350" s="19"/>
      <c r="K350" s="19"/>
      <c r="L350" s="19"/>
      <c r="M350" s="19"/>
      <c r="N350" s="19"/>
      <c r="O350" s="19"/>
    </row>
    <row r="351" spans="1:15" ht="12.75" customHeight="1" x14ac:dyDescent="0.2">
      <c r="A351" s="139">
        <v>146594</v>
      </c>
      <c r="B351" s="529">
        <v>0.09</v>
      </c>
      <c r="F351" s="19"/>
      <c r="G351" s="19"/>
      <c r="H351" s="19"/>
      <c r="I351" s="19"/>
      <c r="J351" s="19"/>
      <c r="K351" s="19"/>
      <c r="L351" s="19"/>
      <c r="M351" s="19"/>
      <c r="N351" s="19"/>
      <c r="O351" s="19"/>
    </row>
    <row r="352" spans="1:15" ht="12.75" customHeight="1" x14ac:dyDescent="0.2">
      <c r="A352" s="139">
        <v>155389</v>
      </c>
      <c r="B352" s="529">
        <v>9.5000000000000001E-2</v>
      </c>
      <c r="F352" s="19"/>
      <c r="G352" s="19"/>
      <c r="H352" s="19"/>
      <c r="I352" s="19"/>
      <c r="J352" s="19"/>
      <c r="K352" s="19"/>
      <c r="L352" s="19"/>
      <c r="M352" s="19"/>
      <c r="N352" s="19"/>
      <c r="O352" s="19"/>
    </row>
    <row r="353" spans="1:15" ht="12.75" customHeight="1" x14ac:dyDescent="0.2">
      <c r="A353" s="139">
        <v>164712</v>
      </c>
      <c r="B353" s="529">
        <v>0.1</v>
      </c>
      <c r="F353" s="19"/>
      <c r="G353" s="19"/>
      <c r="H353" s="19"/>
      <c r="I353" s="19"/>
      <c r="J353" s="19"/>
      <c r="K353" s="19"/>
      <c r="L353" s="19"/>
      <c r="M353" s="19"/>
      <c r="N353" s="19"/>
      <c r="O353" s="19"/>
    </row>
    <row r="354" spans="1:15" ht="12.75" customHeight="1" x14ac:dyDescent="0.2">
      <c r="A354" s="148"/>
      <c r="F354" s="19"/>
      <c r="G354" s="19"/>
      <c r="H354" s="19"/>
      <c r="I354" s="19"/>
      <c r="J354" s="19"/>
      <c r="K354" s="19"/>
      <c r="L354" s="19"/>
      <c r="M354" s="19"/>
      <c r="N354" s="19"/>
      <c r="O354" s="19"/>
    </row>
    <row r="355" spans="1:15" ht="12.75" customHeight="1" x14ac:dyDescent="0.2">
      <c r="F355" s="19"/>
      <c r="G355" s="19"/>
      <c r="H355" s="19"/>
      <c r="I355" s="19"/>
      <c r="J355" s="19"/>
      <c r="K355" s="19"/>
      <c r="L355" s="19"/>
      <c r="M355" s="19"/>
      <c r="N355" s="19"/>
      <c r="O355" s="19"/>
    </row>
    <row r="356" spans="1:15" ht="12.75" customHeight="1" x14ac:dyDescent="0.2">
      <c r="F356" s="19"/>
      <c r="G356" s="19"/>
      <c r="H356" s="19"/>
      <c r="I356" s="19"/>
      <c r="J356" s="19"/>
      <c r="K356" s="19"/>
      <c r="L356" s="19"/>
      <c r="M356" s="19"/>
      <c r="N356" s="19"/>
      <c r="O356" s="19"/>
    </row>
    <row r="357" spans="1:15" ht="12.75" customHeight="1" x14ac:dyDescent="0.2">
      <c r="A357" s="34" t="s">
        <v>5</v>
      </c>
      <c r="B357" s="34"/>
      <c r="F357" s="19"/>
      <c r="G357" s="19"/>
      <c r="H357" s="19"/>
      <c r="I357" s="19"/>
      <c r="J357" s="19"/>
      <c r="N357" s="19"/>
      <c r="O357" s="19"/>
    </row>
    <row r="358" spans="1:15" ht="12.75" customHeight="1" x14ac:dyDescent="0.2">
      <c r="A358" s="18" t="s">
        <v>251</v>
      </c>
      <c r="B358" s="18"/>
      <c r="C358" s="35" t="s">
        <v>11</v>
      </c>
      <c r="F358" s="19"/>
      <c r="G358" s="19"/>
      <c r="H358" s="19"/>
      <c r="I358" s="19"/>
      <c r="J358" s="19"/>
      <c r="N358" s="19"/>
      <c r="O358" s="19"/>
    </row>
    <row r="359" spans="1:15" ht="12.75" customHeight="1" x14ac:dyDescent="0.2">
      <c r="A359" s="18" t="s">
        <v>252</v>
      </c>
      <c r="B359" s="18"/>
      <c r="C359" s="35" t="s">
        <v>12</v>
      </c>
      <c r="F359" s="19"/>
      <c r="G359" s="19"/>
      <c r="H359" s="19"/>
      <c r="I359" s="19"/>
      <c r="J359" s="19"/>
      <c r="N359" s="19"/>
      <c r="O359" s="19"/>
    </row>
    <row r="360" spans="1:15" ht="12.75" customHeight="1" x14ac:dyDescent="0.2">
      <c r="A360" s="18" t="s">
        <v>253</v>
      </c>
      <c r="B360" s="18"/>
      <c r="F360" s="19"/>
      <c r="G360" s="19"/>
      <c r="H360" s="19"/>
      <c r="I360" s="19"/>
      <c r="J360" s="19"/>
      <c r="N360" s="19"/>
      <c r="O360" s="19"/>
    </row>
    <row r="361" spans="1:15" ht="12.75" customHeight="1" x14ac:dyDescent="0.2">
      <c r="A361" s="18" t="s">
        <v>254</v>
      </c>
      <c r="B361" s="18"/>
      <c r="F361" s="19"/>
      <c r="G361" s="19"/>
      <c r="H361" s="19"/>
      <c r="I361" s="19"/>
      <c r="J361" s="19"/>
      <c r="N361" s="19"/>
      <c r="O361" s="19"/>
    </row>
    <row r="362" spans="1:15" ht="12.75" customHeight="1" x14ac:dyDescent="0.2">
      <c r="A362" s="18" t="s">
        <v>255</v>
      </c>
      <c r="B362" s="18"/>
      <c r="F362" s="19"/>
      <c r="G362" s="19"/>
      <c r="H362" s="19"/>
      <c r="I362" s="19"/>
      <c r="J362" s="19"/>
      <c r="N362" s="19"/>
      <c r="O362" s="19"/>
    </row>
    <row r="363" spans="1:15" ht="12.75" customHeight="1" x14ac:dyDescent="0.2">
      <c r="F363" s="19"/>
      <c r="G363" s="19"/>
      <c r="H363" s="19"/>
      <c r="I363" s="19"/>
      <c r="J363" s="19"/>
      <c r="N363" s="19"/>
      <c r="O363" s="19"/>
    </row>
    <row r="364" spans="1:15" ht="12.75" customHeight="1" x14ac:dyDescent="0.2">
      <c r="A364" s="20" t="s">
        <v>256</v>
      </c>
      <c r="B364" s="20"/>
      <c r="F364" s="19"/>
      <c r="G364" s="19"/>
      <c r="H364" s="19"/>
      <c r="I364" s="19"/>
      <c r="J364" s="19"/>
      <c r="N364" s="19"/>
      <c r="O364" s="19"/>
    </row>
    <row r="365" spans="1:15" ht="12.75" customHeight="1" x14ac:dyDescent="0.2">
      <c r="A365" s="18" t="s">
        <v>257</v>
      </c>
      <c r="B365" s="18"/>
      <c r="C365" s="30">
        <v>0.5</v>
      </c>
      <c r="D365" s="19"/>
      <c r="E365" s="19"/>
      <c r="F365" s="19"/>
      <c r="G365" s="19"/>
      <c r="H365" s="19"/>
      <c r="I365" s="19"/>
      <c r="J365" s="19"/>
      <c r="N365" s="19"/>
      <c r="O365" s="19"/>
    </row>
    <row r="366" spans="1:15" ht="12.75" customHeight="1" x14ac:dyDescent="0.2">
      <c r="A366" s="18" t="s">
        <v>258</v>
      </c>
      <c r="B366" s="18"/>
      <c r="C366" s="30">
        <v>0.8</v>
      </c>
      <c r="D366" s="19"/>
      <c r="E366" s="19"/>
      <c r="F366" s="19"/>
      <c r="G366" s="19"/>
      <c r="H366" s="19"/>
      <c r="I366" s="19"/>
      <c r="J366" s="19"/>
      <c r="N366" s="19"/>
      <c r="O366" s="19"/>
    </row>
    <row r="367" spans="1:15" ht="12.75" customHeight="1" x14ac:dyDescent="0.2">
      <c r="A367" s="18"/>
      <c r="B367" s="18"/>
      <c r="C367" s="366"/>
      <c r="D367" s="19"/>
      <c r="E367" s="19"/>
      <c r="F367" s="19"/>
      <c r="G367" s="19"/>
      <c r="H367" s="19"/>
      <c r="I367" s="19"/>
      <c r="J367" s="19"/>
      <c r="N367" s="19"/>
      <c r="O367" s="19"/>
    </row>
    <row r="368" spans="1:15" ht="12.75" customHeight="1" x14ac:dyDescent="0.2">
      <c r="A368" s="20" t="s">
        <v>26</v>
      </c>
      <c r="B368" s="20"/>
      <c r="C368" s="366"/>
      <c r="D368" s="19"/>
      <c r="E368" s="19"/>
      <c r="F368" s="19"/>
      <c r="G368" s="19"/>
      <c r="H368" s="32"/>
      <c r="I368" s="38"/>
      <c r="J368" s="19"/>
      <c r="K368" s="19"/>
      <c r="N368" s="19"/>
      <c r="O368" s="19"/>
    </row>
    <row r="369" spans="1:15" ht="12.75" customHeight="1" x14ac:dyDescent="0.2">
      <c r="A369" s="18" t="s">
        <v>259</v>
      </c>
      <c r="B369" s="18"/>
      <c r="C369" s="30">
        <v>0.8</v>
      </c>
      <c r="D369" s="19"/>
      <c r="E369" s="19"/>
      <c r="F369" s="19"/>
      <c r="G369" s="38"/>
      <c r="H369" s="32"/>
      <c r="I369" s="38"/>
      <c r="J369" s="19"/>
      <c r="K369" s="19"/>
      <c r="N369" s="19"/>
      <c r="O369" s="19"/>
    </row>
    <row r="370" spans="1:15" ht="12.75" customHeight="1" x14ac:dyDescent="0.2">
      <c r="A370" s="18" t="s">
        <v>260</v>
      </c>
      <c r="B370" s="18"/>
      <c r="C370" s="30">
        <v>1</v>
      </c>
      <c r="D370" s="19"/>
      <c r="E370" s="19"/>
      <c r="F370" s="19"/>
      <c r="G370" s="38"/>
      <c r="H370" s="32"/>
      <c r="I370" s="38"/>
      <c r="J370" s="31"/>
      <c r="K370" s="31"/>
      <c r="L370" s="19"/>
      <c r="N370" s="19"/>
      <c r="O370" s="19"/>
    </row>
    <row r="371" spans="1:15" ht="12.75" customHeight="1" x14ac:dyDescent="0.2">
      <c r="A371" s="18"/>
      <c r="B371" s="18"/>
      <c r="C371" s="366"/>
      <c r="D371" s="19"/>
      <c r="E371" s="19"/>
      <c r="F371" s="19"/>
      <c r="G371" s="38"/>
      <c r="H371" s="32"/>
      <c r="I371" s="38"/>
      <c r="J371" s="31"/>
      <c r="K371" s="31"/>
      <c r="L371" s="19"/>
      <c r="N371" s="19"/>
      <c r="O371" s="19"/>
    </row>
    <row r="372" spans="1:15" ht="12.75" customHeight="1" x14ac:dyDescent="0.2">
      <c r="A372" s="20" t="s">
        <v>261</v>
      </c>
      <c r="B372" s="20"/>
      <c r="C372" s="366"/>
      <c r="D372" s="19"/>
      <c r="E372" s="19"/>
      <c r="F372" s="19"/>
      <c r="G372" s="38"/>
      <c r="H372" s="32"/>
      <c r="I372" s="38"/>
      <c r="J372" s="31"/>
      <c r="K372" s="31"/>
      <c r="L372" s="19"/>
      <c r="N372" s="19"/>
      <c r="O372" s="19"/>
    </row>
    <row r="373" spans="1:15" ht="12.75" customHeight="1" x14ac:dyDescent="0.2">
      <c r="A373" s="18"/>
      <c r="B373" s="18"/>
      <c r="C373" s="366" t="s">
        <v>262</v>
      </c>
      <c r="D373" s="366" t="s">
        <v>262</v>
      </c>
      <c r="E373" s="366" t="s">
        <v>262</v>
      </c>
      <c r="F373" s="19"/>
      <c r="G373" s="38"/>
      <c r="H373" s="32"/>
      <c r="I373" s="38"/>
      <c r="J373" s="31"/>
      <c r="K373" s="31"/>
      <c r="L373" s="19"/>
      <c r="N373" s="19"/>
      <c r="O373" s="19"/>
    </row>
    <row r="374" spans="1:15" ht="12.75" customHeight="1" x14ac:dyDescent="0.2">
      <c r="A374" s="18"/>
      <c r="B374" s="18"/>
      <c r="C374" s="30">
        <v>0.5</v>
      </c>
      <c r="D374" s="19" t="s">
        <v>263</v>
      </c>
      <c r="E374" s="19"/>
      <c r="F374" s="19"/>
      <c r="G374" s="38"/>
      <c r="H374" s="32"/>
      <c r="I374" s="38"/>
      <c r="J374" s="31"/>
      <c r="K374" s="31"/>
      <c r="L374" s="19"/>
      <c r="N374" s="19"/>
      <c r="O374" s="19"/>
    </row>
    <row r="375" spans="1:15" ht="12.75" customHeight="1" x14ac:dyDescent="0.2">
      <c r="A375" s="18"/>
      <c r="B375" s="18"/>
      <c r="C375" s="30"/>
      <c r="D375" s="19"/>
      <c r="E375" s="19"/>
      <c r="G375" s="38"/>
      <c r="H375" s="32"/>
      <c r="I375" s="38"/>
      <c r="J375" s="31"/>
      <c r="K375" s="31"/>
      <c r="L375" s="19"/>
      <c r="N375" s="19"/>
      <c r="O375" s="19"/>
    </row>
    <row r="376" spans="1:15" ht="12.75" customHeight="1" x14ac:dyDescent="0.2">
      <c r="A376" s="20" t="s">
        <v>264</v>
      </c>
      <c r="B376" s="18"/>
      <c r="C376" s="132">
        <v>500</v>
      </c>
      <c r="D376" s="19"/>
      <c r="E376" s="19"/>
      <c r="G376" s="38"/>
      <c r="H376" s="32"/>
      <c r="I376" s="38"/>
      <c r="J376" s="31"/>
      <c r="K376" s="31"/>
      <c r="L376" s="19"/>
      <c r="N376" s="19"/>
      <c r="O376" s="19"/>
    </row>
    <row r="377" spans="1:15" ht="12.75" customHeight="1" x14ac:dyDescent="0.2">
      <c r="A377" s="18"/>
      <c r="B377" s="18"/>
      <c r="C377" s="30"/>
      <c r="D377" s="19"/>
      <c r="E377" s="19"/>
      <c r="G377" s="38"/>
      <c r="H377" s="32"/>
      <c r="I377" s="38"/>
      <c r="J377" s="31"/>
      <c r="K377" s="31"/>
      <c r="L377" s="19"/>
      <c r="N377" s="19"/>
      <c r="O377" s="19"/>
    </row>
    <row r="378" spans="1:15" ht="12.75" customHeight="1" x14ac:dyDescent="0.2">
      <c r="A378" s="20" t="s">
        <v>265</v>
      </c>
      <c r="B378" s="20"/>
      <c r="C378" s="30"/>
      <c r="D378" s="19"/>
      <c r="E378" s="19"/>
      <c r="F378" s="39"/>
      <c r="G378" s="38"/>
      <c r="H378" s="32"/>
      <c r="I378" s="38"/>
      <c r="J378" s="31"/>
      <c r="K378" s="31"/>
      <c r="L378" s="19"/>
      <c r="N378" s="19"/>
      <c r="O378" s="19"/>
    </row>
    <row r="379" spans="1:15" ht="12.75" customHeight="1" x14ac:dyDescent="0.2">
      <c r="A379" s="18" t="s">
        <v>255</v>
      </c>
      <c r="B379" s="18"/>
      <c r="C379" s="30" t="s">
        <v>69</v>
      </c>
      <c r="D379" s="19"/>
      <c r="E379" s="19"/>
      <c r="F379" s="39"/>
      <c r="G379" s="38"/>
      <c r="H379" s="32"/>
      <c r="I379" s="38"/>
      <c r="J379" s="31"/>
      <c r="K379" s="31"/>
      <c r="L379" s="19"/>
      <c r="N379" s="19"/>
      <c r="O379" s="19"/>
    </row>
    <row r="380" spans="1:15" ht="12.75" customHeight="1" x14ac:dyDescent="0.2">
      <c r="A380" s="18" t="s">
        <v>266</v>
      </c>
      <c r="B380" s="18"/>
      <c r="C380" s="30" t="s">
        <v>267</v>
      </c>
      <c r="D380" s="19"/>
      <c r="E380" s="19"/>
      <c r="F380" s="39"/>
      <c r="G380" s="38"/>
      <c r="H380" s="32"/>
      <c r="I380" s="19"/>
      <c r="J380" s="19"/>
      <c r="K380" s="19"/>
      <c r="L380" s="19"/>
      <c r="M380" s="19"/>
      <c r="N380" s="19"/>
      <c r="O380" s="19"/>
    </row>
    <row r="381" spans="1:15" ht="12.75" customHeight="1" x14ac:dyDescent="0.2">
      <c r="A381" s="18" t="s">
        <v>268</v>
      </c>
      <c r="B381" s="18"/>
      <c r="C381" s="30"/>
      <c r="D381" s="19"/>
      <c r="E381" s="19"/>
      <c r="F381" s="39"/>
      <c r="G381" s="19"/>
      <c r="H381" s="32"/>
      <c r="I381" s="19"/>
      <c r="J381" s="19"/>
      <c r="K381" s="19"/>
      <c r="L381" s="19"/>
      <c r="M381" s="19"/>
      <c r="N381" s="19"/>
      <c r="O381" s="19"/>
    </row>
    <row r="382" spans="1:15" ht="12.75" customHeight="1" x14ac:dyDescent="0.2">
      <c r="A382" s="18" t="s">
        <v>269</v>
      </c>
      <c r="B382" s="18"/>
      <c r="C382" s="30"/>
      <c r="D382" s="19"/>
      <c r="E382" s="19"/>
      <c r="F382" s="39"/>
      <c r="G382" s="19"/>
      <c r="H382" s="19"/>
      <c r="I382" s="19"/>
      <c r="J382" s="19"/>
      <c r="K382" s="19"/>
      <c r="L382" s="19"/>
      <c r="M382" s="19"/>
      <c r="N382" s="19"/>
      <c r="O382" s="19"/>
    </row>
    <row r="383" spans="1:15" ht="12.75" customHeight="1" x14ac:dyDescent="0.2">
      <c r="A383" s="18" t="s">
        <v>350</v>
      </c>
      <c r="B383" s="18"/>
      <c r="C383" s="30"/>
      <c r="D383" s="19"/>
      <c r="E383" s="19"/>
      <c r="F383" s="39"/>
      <c r="G383" s="19"/>
      <c r="H383" s="19"/>
      <c r="I383" s="19"/>
      <c r="J383" s="19"/>
      <c r="K383" s="19"/>
      <c r="L383" s="19"/>
      <c r="M383" s="19"/>
      <c r="N383" s="19"/>
      <c r="O383" s="19"/>
    </row>
    <row r="384" spans="1:15" ht="12.75" customHeight="1" x14ac:dyDescent="0.2">
      <c r="A384" s="27" t="s">
        <v>126</v>
      </c>
      <c r="B384" s="27"/>
      <c r="C384" s="24"/>
      <c r="D384" s="19"/>
      <c r="E384" s="19"/>
      <c r="F384" s="39"/>
      <c r="G384" s="19"/>
      <c r="H384" s="19"/>
      <c r="I384" s="19"/>
      <c r="J384" s="19"/>
      <c r="K384" s="19"/>
      <c r="L384" s="19"/>
      <c r="M384" s="19"/>
      <c r="N384" s="19"/>
      <c r="O384" s="19"/>
    </row>
    <row r="385" spans="1:15" ht="12.75" customHeight="1" x14ac:dyDescent="0.2">
      <c r="A385" s="18" t="s">
        <v>270</v>
      </c>
      <c r="B385" s="18"/>
      <c r="C385" s="366"/>
      <c r="D385" s="19"/>
      <c r="E385" s="19"/>
      <c r="F385" s="39"/>
      <c r="G385" s="19"/>
      <c r="H385" s="19"/>
      <c r="I385" s="19"/>
      <c r="J385" s="19"/>
      <c r="K385" s="19"/>
      <c r="L385" s="19"/>
      <c r="M385" s="19"/>
      <c r="N385" s="19"/>
      <c r="O385" s="19"/>
    </row>
    <row r="386" spans="1:15" ht="12.75" customHeight="1" x14ac:dyDescent="0.2">
      <c r="A386" s="18" t="s">
        <v>271</v>
      </c>
      <c r="B386" s="18"/>
      <c r="C386" s="366"/>
      <c r="D386" s="19"/>
      <c r="E386" s="19"/>
      <c r="F386" s="39"/>
      <c r="G386" s="19"/>
      <c r="H386" s="19"/>
      <c r="I386" s="19"/>
    </row>
    <row r="387" spans="1:15" ht="12.75" customHeight="1" x14ac:dyDescent="0.2">
      <c r="A387" s="18" t="s">
        <v>223</v>
      </c>
      <c r="B387" s="18"/>
      <c r="C387" s="19"/>
      <c r="D387" s="19"/>
      <c r="F387" s="19"/>
      <c r="I387" s="19"/>
    </row>
    <row r="388" spans="1:15" ht="12.75" customHeight="1" x14ac:dyDescent="0.2">
      <c r="A388" s="27" t="s">
        <v>272</v>
      </c>
      <c r="B388" s="27"/>
      <c r="C388" s="19"/>
      <c r="D388" s="19"/>
      <c r="F388" s="19"/>
      <c r="I388" s="19"/>
    </row>
    <row r="389" spans="1:15" ht="12.75" customHeight="1" x14ac:dyDescent="0.2">
      <c r="A389" s="19" t="s">
        <v>273</v>
      </c>
      <c r="B389" s="19"/>
      <c r="C389" s="19"/>
      <c r="D389" s="19"/>
      <c r="F389" s="19"/>
      <c r="I389" s="19"/>
    </row>
    <row r="390" spans="1:15" ht="12.75" customHeight="1" x14ac:dyDescent="0.2">
      <c r="A390" s="19" t="s">
        <v>274</v>
      </c>
      <c r="B390" s="19"/>
      <c r="C390" s="19"/>
      <c r="D390" s="19"/>
      <c r="F390" s="19"/>
      <c r="I390" s="19"/>
    </row>
    <row r="391" spans="1:15" ht="12.75" customHeight="1" x14ac:dyDescent="0.2">
      <c r="A391" s="19" t="s">
        <v>275</v>
      </c>
      <c r="B391" s="19"/>
      <c r="C391" s="19"/>
      <c r="D391" s="19"/>
      <c r="F391" s="19"/>
      <c r="I391" s="19"/>
    </row>
    <row r="392" spans="1:15" ht="12.75" customHeight="1" x14ac:dyDescent="0.2">
      <c r="A392" s="18" t="s">
        <v>351</v>
      </c>
      <c r="B392" s="18"/>
      <c r="C392" s="19"/>
      <c r="D392" s="19"/>
      <c r="F392" s="19"/>
      <c r="G392" s="22"/>
      <c r="H392" s="19"/>
      <c r="I392" s="19"/>
    </row>
    <row r="393" spans="1:15" ht="12.75" customHeight="1" x14ac:dyDescent="0.2">
      <c r="A393" s="20" t="s">
        <v>276</v>
      </c>
      <c r="B393" s="20"/>
      <c r="C393" s="19"/>
      <c r="D393" s="19"/>
      <c r="F393" s="19"/>
      <c r="G393" s="22"/>
      <c r="H393" s="19"/>
      <c r="I393" s="19"/>
    </row>
    <row r="394" spans="1:15" ht="12.75" customHeight="1" x14ac:dyDescent="0.2">
      <c r="A394" s="18" t="s">
        <v>277</v>
      </c>
      <c r="B394" s="18"/>
      <c r="C394" s="19"/>
      <c r="D394" s="19"/>
      <c r="F394" s="19"/>
      <c r="G394" s="22"/>
      <c r="H394" s="19"/>
      <c r="I394" s="19"/>
    </row>
    <row r="395" spans="1:15" ht="12.75" customHeight="1" x14ac:dyDescent="0.2">
      <c r="A395" s="18" t="s">
        <v>278</v>
      </c>
      <c r="B395" s="18"/>
      <c r="C395" s="19"/>
      <c r="D395" s="19"/>
      <c r="F395" s="19"/>
    </row>
    <row r="396" spans="1:15" ht="12.75" customHeight="1" x14ac:dyDescent="0.2">
      <c r="A396" s="18" t="s">
        <v>279</v>
      </c>
      <c r="B396" s="18"/>
      <c r="C396" s="19"/>
      <c r="D396" s="19"/>
      <c r="E396" s="19"/>
      <c r="F396" s="22"/>
    </row>
    <row r="397" spans="1:15" ht="12.75" customHeight="1" x14ac:dyDescent="0.2">
      <c r="A397" s="18" t="s">
        <v>280</v>
      </c>
      <c r="B397" s="18"/>
      <c r="C397" s="19"/>
      <c r="D397" s="19"/>
      <c r="E397" s="19"/>
      <c r="F397" s="22"/>
    </row>
    <row r="398" spans="1:15" ht="12.75" customHeight="1" x14ac:dyDescent="0.2">
      <c r="A398" s="18" t="s">
        <v>281</v>
      </c>
      <c r="B398" s="18"/>
      <c r="C398" s="19"/>
      <c r="D398" s="19"/>
      <c r="E398" s="19"/>
      <c r="F398" s="22"/>
    </row>
    <row r="399" spans="1:15" ht="12.75" customHeight="1" x14ac:dyDescent="0.2">
      <c r="A399" s="18" t="s">
        <v>282</v>
      </c>
      <c r="B399" s="18"/>
      <c r="C399" s="19"/>
      <c r="D399" s="19"/>
      <c r="E399" s="19"/>
      <c r="F399" s="22"/>
    </row>
    <row r="400" spans="1:15" ht="12.75" customHeight="1" x14ac:dyDescent="0.2">
      <c r="A400" s="18" t="s">
        <v>283</v>
      </c>
      <c r="B400" s="18"/>
      <c r="C400" s="19"/>
      <c r="D400" s="19"/>
      <c r="E400" s="19"/>
      <c r="F400" s="22"/>
    </row>
    <row r="401" spans="1:6" ht="12.75" customHeight="1" x14ac:dyDescent="0.2">
      <c r="A401" s="18"/>
      <c r="B401" s="18"/>
      <c r="C401" s="19"/>
      <c r="D401" s="19"/>
      <c r="E401" s="19"/>
      <c r="F401" s="22"/>
    </row>
    <row r="402" spans="1:6" ht="12.75" customHeight="1" x14ac:dyDescent="0.2">
      <c r="A402" s="20" t="s">
        <v>284</v>
      </c>
      <c r="B402" s="20"/>
      <c r="D402" s="19" t="s">
        <v>285</v>
      </c>
      <c r="E402" s="19"/>
    </row>
    <row r="403" spans="1:6" ht="12.75" customHeight="1" x14ac:dyDescent="0.2">
      <c r="A403" s="18" t="s">
        <v>286</v>
      </c>
      <c r="B403" s="18"/>
      <c r="D403" s="19">
        <v>0</v>
      </c>
      <c r="E403" s="19"/>
    </row>
    <row r="404" spans="1:6" ht="12.75" customHeight="1" x14ac:dyDescent="0.2">
      <c r="A404" s="18" t="s">
        <v>287</v>
      </c>
      <c r="B404" s="18"/>
      <c r="D404" s="19"/>
      <c r="E404" s="19"/>
    </row>
    <row r="405" spans="1:6" ht="12.75" customHeight="1" x14ac:dyDescent="0.2">
      <c r="A405" s="21" t="s">
        <v>288</v>
      </c>
      <c r="B405" s="21"/>
      <c r="D405" s="22"/>
      <c r="E405" s="22"/>
    </row>
    <row r="406" spans="1:6" ht="12.75" customHeight="1" x14ac:dyDescent="0.2">
      <c r="A406" s="21" t="s">
        <v>289</v>
      </c>
      <c r="B406" s="21"/>
      <c r="D406" s="22"/>
      <c r="E406" s="22"/>
    </row>
    <row r="407" spans="1:6" ht="12.75" customHeight="1" x14ac:dyDescent="0.2">
      <c r="A407" s="21" t="s">
        <v>290</v>
      </c>
      <c r="B407" s="21"/>
      <c r="D407" s="22"/>
      <c r="E407" s="22"/>
    </row>
    <row r="408" spans="1:6" ht="12.75" customHeight="1" x14ac:dyDescent="0.2">
      <c r="A408" s="21" t="s">
        <v>291</v>
      </c>
      <c r="B408" s="21"/>
      <c r="D408" s="22"/>
      <c r="E408" s="22"/>
    </row>
    <row r="409" spans="1:6" ht="12.75" customHeight="1" x14ac:dyDescent="0.2">
      <c r="A409" s="21" t="s">
        <v>292</v>
      </c>
      <c r="B409" s="21"/>
      <c r="D409" s="22"/>
      <c r="E409" s="22"/>
    </row>
    <row r="410" spans="1:6" ht="12.75" customHeight="1" x14ac:dyDescent="0.2">
      <c r="A410" s="21"/>
      <c r="B410" s="21"/>
      <c r="C410" s="22"/>
      <c r="D410" s="22"/>
      <c r="E410" s="22"/>
    </row>
    <row r="411" spans="1:6" ht="12.75" customHeight="1" x14ac:dyDescent="0.2">
      <c r="A411" s="35"/>
    </row>
    <row r="412" spans="1:6" ht="12.75" customHeight="1" x14ac:dyDescent="0.2">
      <c r="A412" s="35"/>
    </row>
  </sheetData>
  <sheetProtection algorithmName="SHA-512" hashValue="1iZTZ+ybdmp92VB14WlHw+6K1wHpjdb6oCi5mh242RFBya7jLi2n/er16faSb8omTNePyWurJ7UZxqJZhNesYg==" saltValue="DXihpq6W4gdWkSyxowqREQ==" spinCount="100000" sheet="1" objects="1" scenarios="1" selectLockedCells="1" selectUnlockedCells="1"/>
  <sortState xmlns:xlrd2="http://schemas.microsoft.com/office/spreadsheetml/2017/richdata2" ref="A6:A11">
    <sortCondition ref="A6:A11"/>
  </sortState>
  <mergeCells count="3">
    <mergeCell ref="I286:J286"/>
    <mergeCell ref="K286:L286"/>
    <mergeCell ref="H319:L319"/>
  </mergeCells>
  <phoneticPr fontId="102" type="noConversion"/>
  <pageMargins left="0.7" right="0.7" top="0.75" bottom="0.75" header="0.3" footer="0.3"/>
  <pageSetup paperSize="9" orientation="portrait" r:id="rId1"/>
  <ignoredErrors>
    <ignoredError sqref="D168 D178 D193 D179:D180 D202:D204 D217 D227 D22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S179"/>
  <sheetViews>
    <sheetView topLeftCell="O1" zoomScale="85" zoomScaleNormal="85" workbookViewId="0">
      <selection activeCell="AG19" sqref="AG19"/>
    </sheetView>
  </sheetViews>
  <sheetFormatPr defaultRowHeight="12.75" x14ac:dyDescent="0.2"/>
  <cols>
    <col min="1" max="1" width="25" customWidth="1"/>
    <col min="2" max="2" width="10.42578125" bestFit="1" customWidth="1"/>
    <col min="3" max="3" width="10.42578125" customWidth="1"/>
    <col min="5" max="5" width="35.42578125" customWidth="1"/>
    <col min="7" max="7" width="9.5703125" customWidth="1"/>
    <col min="8" max="8" width="10.42578125" customWidth="1"/>
    <col min="9" max="9" width="11.5703125" customWidth="1"/>
    <col min="10" max="10" width="35" customWidth="1"/>
    <col min="11" max="11" width="9.42578125" customWidth="1"/>
    <col min="12" max="12" width="4.42578125" customWidth="1"/>
    <col min="15" max="15" width="9.5703125" customWidth="1"/>
    <col min="27" max="27" width="31.5703125" bestFit="1" customWidth="1"/>
    <col min="33" max="33" width="13" customWidth="1"/>
    <col min="34" max="41" width="9.5703125" bestFit="1" customWidth="1"/>
  </cols>
  <sheetData>
    <row r="1" spans="1:41" x14ac:dyDescent="0.2">
      <c r="A1" t="s">
        <v>1107</v>
      </c>
    </row>
    <row r="2" spans="1:41" x14ac:dyDescent="0.2">
      <c r="A2" t="s">
        <v>1108</v>
      </c>
    </row>
    <row r="3" spans="1:41" x14ac:dyDescent="0.2">
      <c r="A3" t="s">
        <v>1109</v>
      </c>
    </row>
    <row r="4" spans="1:41" x14ac:dyDescent="0.2">
      <c r="A4" t="s">
        <v>1110</v>
      </c>
    </row>
    <row r="5" spans="1:41" x14ac:dyDescent="0.2">
      <c r="A5" t="s">
        <v>1111</v>
      </c>
    </row>
    <row r="6" spans="1:41" ht="28.5" x14ac:dyDescent="0.45">
      <c r="A6" t="s">
        <v>1112</v>
      </c>
      <c r="AC6" s="368" t="s">
        <v>1079</v>
      </c>
    </row>
    <row r="7" spans="1:41" x14ac:dyDescent="0.2">
      <c r="A7" t="s">
        <v>1113</v>
      </c>
      <c r="AE7" s="367" t="s">
        <v>1080</v>
      </c>
    </row>
    <row r="8" spans="1:41" x14ac:dyDescent="0.2">
      <c r="A8" t="s">
        <v>1114</v>
      </c>
      <c r="AG8" s="373" t="s">
        <v>1081</v>
      </c>
    </row>
    <row r="9" spans="1:41" x14ac:dyDescent="0.2">
      <c r="A9" s="375" t="s">
        <v>1673</v>
      </c>
      <c r="AE9" s="376"/>
    </row>
    <row r="10" spans="1:41" ht="14.25" x14ac:dyDescent="0.2">
      <c r="AB10" s="377"/>
      <c r="AC10" s="377"/>
      <c r="AD10" s="377"/>
      <c r="AE10" s="378" t="s">
        <v>1082</v>
      </c>
      <c r="AF10" s="377"/>
      <c r="AG10" s="377"/>
      <c r="AH10" s="377"/>
      <c r="AI10" s="377"/>
      <c r="AJ10" s="377"/>
      <c r="AK10" s="377"/>
      <c r="AL10" s="377"/>
      <c r="AM10" s="377"/>
      <c r="AN10" s="377"/>
      <c r="AO10" s="377"/>
    </row>
    <row r="11" spans="1:41" ht="28.5" x14ac:dyDescent="0.45">
      <c r="A11" s="368" t="s">
        <v>1115</v>
      </c>
      <c r="E11" s="368" t="s">
        <v>1116</v>
      </c>
      <c r="N11" s="368" t="s">
        <v>1117</v>
      </c>
      <c r="AB11" s="813">
        <v>27000</v>
      </c>
      <c r="AC11" s="813">
        <v>27000</v>
      </c>
      <c r="AD11" s="813">
        <v>41000</v>
      </c>
      <c r="AE11" s="813">
        <v>54000</v>
      </c>
      <c r="AF11" s="813">
        <v>68000</v>
      </c>
      <c r="AG11" s="813">
        <v>82000</v>
      </c>
      <c r="AH11" s="813">
        <v>109000</v>
      </c>
      <c r="AI11" s="813">
        <v>136000</v>
      </c>
      <c r="AJ11" s="813">
        <v>163000</v>
      </c>
      <c r="AK11" s="813">
        <v>191000</v>
      </c>
      <c r="AL11" s="813">
        <v>218000</v>
      </c>
      <c r="AM11" s="813">
        <v>272000</v>
      </c>
      <c r="AN11" s="813">
        <v>341000</v>
      </c>
      <c r="AO11" s="813">
        <v>409000</v>
      </c>
    </row>
    <row r="12" spans="1:41" ht="14.25" x14ac:dyDescent="0.2">
      <c r="A12" s="426" t="s">
        <v>1672</v>
      </c>
      <c r="E12" s="373" t="s">
        <v>1118</v>
      </c>
      <c r="O12" s="367" t="s">
        <v>1080</v>
      </c>
      <c r="AB12" s="814" t="s">
        <v>1119</v>
      </c>
      <c r="AC12" s="814" t="s">
        <v>1120</v>
      </c>
      <c r="AD12" s="814" t="s">
        <v>1120</v>
      </c>
      <c r="AE12" s="814" t="s">
        <v>1120</v>
      </c>
      <c r="AF12" s="814" t="s">
        <v>1120</v>
      </c>
      <c r="AG12" s="814" t="s">
        <v>1120</v>
      </c>
      <c r="AH12" s="814" t="s">
        <v>1120</v>
      </c>
      <c r="AI12" s="814" t="s">
        <v>1120</v>
      </c>
      <c r="AJ12" s="814" t="s">
        <v>1120</v>
      </c>
      <c r="AK12" s="814" t="s">
        <v>1120</v>
      </c>
      <c r="AL12" s="814" t="s">
        <v>1120</v>
      </c>
      <c r="AM12" s="814" t="s">
        <v>1120</v>
      </c>
      <c r="AN12" s="814" t="s">
        <v>1120</v>
      </c>
      <c r="AO12" s="814" t="s">
        <v>1120</v>
      </c>
    </row>
    <row r="13" spans="1:41" ht="14.25" x14ac:dyDescent="0.2">
      <c r="E13" s="373" t="s">
        <v>1081</v>
      </c>
      <c r="Q13" s="373" t="s">
        <v>1081</v>
      </c>
      <c r="AB13" s="815"/>
      <c r="AC13" s="815">
        <v>41000</v>
      </c>
      <c r="AD13" s="815">
        <v>54000</v>
      </c>
      <c r="AE13" s="815">
        <v>68000</v>
      </c>
      <c r="AF13" s="815">
        <v>82000</v>
      </c>
      <c r="AG13" s="815">
        <v>109000</v>
      </c>
      <c r="AH13" s="815">
        <v>136000</v>
      </c>
      <c r="AI13" s="815">
        <v>163000</v>
      </c>
      <c r="AJ13" s="815">
        <v>191000</v>
      </c>
      <c r="AK13" s="815">
        <v>218000</v>
      </c>
      <c r="AL13" s="815">
        <v>272000</v>
      </c>
      <c r="AM13" s="815">
        <v>341000</v>
      </c>
      <c r="AN13" s="815">
        <v>409000</v>
      </c>
      <c r="AO13" s="815">
        <v>681000</v>
      </c>
    </row>
    <row r="14" spans="1:41" ht="50.25" customHeight="1" x14ac:dyDescent="0.45">
      <c r="A14" s="371" t="s">
        <v>1121</v>
      </c>
      <c r="B14" s="369" t="s">
        <v>1122</v>
      </c>
      <c r="C14" s="374" t="s">
        <v>1123</v>
      </c>
      <c r="D14" s="369"/>
      <c r="E14" s="371" t="s">
        <v>1124</v>
      </c>
      <c r="F14" s="369" t="s">
        <v>1122</v>
      </c>
      <c r="G14" s="370" t="s">
        <v>1125</v>
      </c>
      <c r="H14" s="712" t="s">
        <v>1623</v>
      </c>
      <c r="I14" s="370"/>
      <c r="J14" s="370"/>
      <c r="K14" s="426" t="s">
        <v>243</v>
      </c>
      <c r="L14" s="426"/>
      <c r="M14" s="369" t="s">
        <v>231</v>
      </c>
      <c r="N14" s="369" t="s">
        <v>238</v>
      </c>
      <c r="O14" s="369" t="s">
        <v>232</v>
      </c>
      <c r="P14" s="369" t="s">
        <v>239</v>
      </c>
      <c r="Q14" s="369" t="s">
        <v>230</v>
      </c>
      <c r="R14" s="369" t="s">
        <v>237</v>
      </c>
      <c r="S14" s="369" t="s">
        <v>233</v>
      </c>
      <c r="T14" s="369" t="s">
        <v>240</v>
      </c>
      <c r="U14" s="369" t="s">
        <v>234</v>
      </c>
      <c r="V14" s="369" t="s">
        <v>242</v>
      </c>
      <c r="W14" s="369" t="s">
        <v>235</v>
      </c>
      <c r="X14" s="369" t="s">
        <v>241</v>
      </c>
      <c r="Y14" s="369" t="s">
        <v>1126</v>
      </c>
      <c r="Z14" s="369"/>
      <c r="AA14" s="368" t="s">
        <v>243</v>
      </c>
    </row>
    <row r="15" spans="1:41" ht="14.25" x14ac:dyDescent="0.2">
      <c r="A15" t="s">
        <v>1085</v>
      </c>
      <c r="B15" s="808">
        <v>937.59</v>
      </c>
      <c r="C15" s="808">
        <v>685.75</v>
      </c>
      <c r="D15" s="372"/>
      <c r="E15" t="s">
        <v>1085</v>
      </c>
      <c r="F15" s="809" t="s">
        <v>1127</v>
      </c>
      <c r="G15" s="811">
        <v>822.34564208984375</v>
      </c>
      <c r="H15" s="811">
        <v>12.202621459960938</v>
      </c>
      <c r="I15" s="702"/>
      <c r="J15" t="s">
        <v>1085</v>
      </c>
      <c r="K15" s="812">
        <v>835.61155093561808</v>
      </c>
      <c r="M15" s="812">
        <v>828.50539720220922</v>
      </c>
      <c r="N15" s="812">
        <v>848.79517693155765</v>
      </c>
      <c r="O15" s="812">
        <v>835.94907126653504</v>
      </c>
      <c r="P15" s="812">
        <v>876.46046773363685</v>
      </c>
      <c r="Q15" s="812">
        <v>812.25801491502864</v>
      </c>
      <c r="R15" s="812">
        <v>878.66401398098742</v>
      </c>
      <c r="S15" s="812">
        <v>856.77431163088613</v>
      </c>
      <c r="T15" s="812">
        <v>806.21142310440166</v>
      </c>
      <c r="U15" s="812">
        <v>782.62909523254768</v>
      </c>
      <c r="V15" s="812">
        <v>835.88266772426994</v>
      </c>
      <c r="W15" s="812">
        <v>857.84244845000478</v>
      </c>
      <c r="X15" s="812">
        <v>851.22334096816792</v>
      </c>
      <c r="Y15" s="812">
        <v>865.7894676867918</v>
      </c>
      <c r="Z15" s="701"/>
      <c r="AA15" t="s">
        <v>1085</v>
      </c>
      <c r="AC15" s="812">
        <v>623.39132412634933</v>
      </c>
      <c r="AD15" s="812">
        <v>639.69642810008213</v>
      </c>
      <c r="AE15" s="812">
        <v>663.63034313580499</v>
      </c>
      <c r="AF15" s="812">
        <v>707.14957645287461</v>
      </c>
      <c r="AG15" s="812">
        <v>767.25098560479501</v>
      </c>
      <c r="AH15" s="812">
        <v>854.53837407574485</v>
      </c>
      <c r="AI15" s="812">
        <v>928.62948251094986</v>
      </c>
      <c r="AJ15" s="812">
        <v>1017.6434839161407</v>
      </c>
      <c r="AK15" s="812">
        <v>1064.7704831526985</v>
      </c>
      <c r="AL15" s="812">
        <v>1119.8659485400419</v>
      </c>
      <c r="AM15" s="812">
        <v>1251.4415163417841</v>
      </c>
      <c r="AN15" s="812">
        <v>1406.9724497040506</v>
      </c>
      <c r="AO15" s="812">
        <v>1444.0438104934062</v>
      </c>
    </row>
    <row r="16" spans="1:41" ht="14.25" x14ac:dyDescent="0.2">
      <c r="A16" t="s">
        <v>1087</v>
      </c>
      <c r="B16" s="808">
        <v>1127.03</v>
      </c>
      <c r="C16" s="808">
        <v>852.41</v>
      </c>
      <c r="D16" s="372"/>
      <c r="E16" t="s">
        <v>1087</v>
      </c>
      <c r="F16" s="809" t="s">
        <v>1127</v>
      </c>
      <c r="G16" s="811">
        <v>1065.9530029296875</v>
      </c>
      <c r="H16" s="811">
        <v>16.51641845703125</v>
      </c>
      <c r="I16" s="702"/>
      <c r="J16" t="s">
        <v>1087</v>
      </c>
      <c r="K16" s="812">
        <v>1083.8063525383343</v>
      </c>
      <c r="M16" s="812">
        <v>1075.2710723932246</v>
      </c>
      <c r="N16" s="812">
        <v>1095.5415982822537</v>
      </c>
      <c r="O16" s="812">
        <v>1082.707682488922</v>
      </c>
      <c r="P16" s="812">
        <v>1123.1806355446026</v>
      </c>
      <c r="Q16" s="812">
        <v>1059.0391073059657</v>
      </c>
      <c r="R16" s="812">
        <v>1125.3820911051989</v>
      </c>
      <c r="S16" s="812">
        <v>1103.5131607800392</v>
      </c>
      <c r="T16" s="812">
        <v>1052.9982529159984</v>
      </c>
      <c r="U16" s="812">
        <v>1029.4383040148443</v>
      </c>
      <c r="V16" s="812">
        <v>1082.6413423351235</v>
      </c>
      <c r="W16" s="812">
        <v>1104.5802836168327</v>
      </c>
      <c r="X16" s="812">
        <v>1097.9674592721121</v>
      </c>
      <c r="Y16" s="812">
        <v>1112.5197623449283</v>
      </c>
      <c r="Z16" s="701"/>
      <c r="AA16" t="s">
        <v>1087</v>
      </c>
      <c r="AD16" s="812">
        <v>735.80124082345844</v>
      </c>
      <c r="AE16" s="812">
        <v>759.71244278743734</v>
      </c>
      <c r="AF16" s="812">
        <v>803.19037835163249</v>
      </c>
      <c r="AG16" s="812">
        <v>863.23475688347708</v>
      </c>
      <c r="AH16" s="812">
        <v>950.43931371632641</v>
      </c>
      <c r="AI16" s="812">
        <v>1024.4601142653664</v>
      </c>
      <c r="AJ16" s="812">
        <v>1113.3896443510082</v>
      </c>
      <c r="AK16" s="812">
        <v>1160.4719261882794</v>
      </c>
      <c r="AL16" s="812">
        <v>1215.5151076874852</v>
      </c>
      <c r="AM16" s="812">
        <v>1346.965817762592</v>
      </c>
      <c r="AN16" s="812">
        <v>1502.3491617638679</v>
      </c>
      <c r="AO16" s="812">
        <v>1539.3853430981133</v>
      </c>
    </row>
    <row r="17" spans="1:41" ht="14.25" x14ac:dyDescent="0.2">
      <c r="A17" t="s">
        <v>1089</v>
      </c>
      <c r="B17" s="808">
        <v>1316.47</v>
      </c>
      <c r="C17" s="808">
        <v>1019.08</v>
      </c>
      <c r="D17" s="372"/>
      <c r="E17" t="s">
        <v>1089</v>
      </c>
      <c r="F17" s="809" t="s">
        <v>1127</v>
      </c>
      <c r="G17" s="811">
        <v>1137.2218017578125</v>
      </c>
      <c r="H17" s="811">
        <v>17.027313232421875</v>
      </c>
      <c r="I17" s="702"/>
      <c r="J17" t="s">
        <v>1089</v>
      </c>
      <c r="K17" s="812">
        <v>1174.5724347821433</v>
      </c>
      <c r="M17" s="812">
        <v>1166.5092438217355</v>
      </c>
      <c r="N17" s="812">
        <v>1186.858750512105</v>
      </c>
      <c r="O17" s="812">
        <v>1173.974831510141</v>
      </c>
      <c r="P17" s="812">
        <v>1214.6054826693819</v>
      </c>
      <c r="Q17" s="812">
        <v>1150.2140335034883</v>
      </c>
      <c r="R17" s="812">
        <v>1216.8155152152556</v>
      </c>
      <c r="S17" s="812">
        <v>1194.8613747617476</v>
      </c>
      <c r="T17" s="812">
        <v>1144.1496422537325</v>
      </c>
      <c r="U17" s="812">
        <v>1120.4978945263822</v>
      </c>
      <c r="V17" s="812">
        <v>1173.9082311585232</v>
      </c>
      <c r="W17" s="812">
        <v>1195.9326548994134</v>
      </c>
      <c r="X17" s="812">
        <v>1189.2940627544092</v>
      </c>
      <c r="Y17" s="812">
        <v>1203.9030691739454</v>
      </c>
      <c r="Z17" s="701"/>
      <c r="AA17" t="s">
        <v>1089</v>
      </c>
      <c r="AD17" s="812">
        <v>813.60502406376827</v>
      </c>
      <c r="AE17" s="812">
        <v>837.60939608666047</v>
      </c>
      <c r="AF17" s="812">
        <v>881.25673850471617</v>
      </c>
      <c r="AG17" s="812">
        <v>941.53506991582321</v>
      </c>
      <c r="AH17" s="812">
        <v>1029.0794098415695</v>
      </c>
      <c r="AI17" s="812">
        <v>1103.3886235276705</v>
      </c>
      <c r="AJ17" s="812">
        <v>1192.6646604350935</v>
      </c>
      <c r="AK17" s="812">
        <v>1239.9303893881561</v>
      </c>
      <c r="AL17" s="812">
        <v>1295.1880411236909</v>
      </c>
      <c r="AM17" s="812">
        <v>1427.1509339709362</v>
      </c>
      <c r="AN17" s="812">
        <v>1583.1397109256159</v>
      </c>
      <c r="AO17" s="812">
        <v>1620.320201039852</v>
      </c>
    </row>
    <row r="18" spans="1:41" ht="14.25" x14ac:dyDescent="0.2">
      <c r="A18" t="s">
        <v>1128</v>
      </c>
      <c r="B18" s="808">
        <v>1505.91</v>
      </c>
      <c r="C18" s="808">
        <v>1185.74</v>
      </c>
      <c r="D18" s="372"/>
      <c r="E18" t="s">
        <v>1128</v>
      </c>
      <c r="F18" s="809" t="s">
        <v>1127</v>
      </c>
      <c r="G18" s="811">
        <v>1234.7079467773438</v>
      </c>
      <c r="H18" s="811">
        <v>17.833099365234375</v>
      </c>
      <c r="I18" s="702"/>
      <c r="J18" t="s">
        <v>1128</v>
      </c>
      <c r="K18" s="812">
        <v>1237.2944375117177</v>
      </c>
      <c r="M18" s="812">
        <v>1232.4628011473121</v>
      </c>
      <c r="N18" s="812">
        <v>1252.8815304503746</v>
      </c>
      <c r="O18" s="812">
        <v>1239.9537817645851</v>
      </c>
      <c r="P18" s="812">
        <v>1280.7226455371949</v>
      </c>
      <c r="Q18" s="812">
        <v>1216.1121583790296</v>
      </c>
      <c r="R18" s="812">
        <v>1282.9401958260012</v>
      </c>
      <c r="S18" s="812">
        <v>1260.911373449504</v>
      </c>
      <c r="T18" s="812">
        <v>1210.0271420732136</v>
      </c>
      <c r="U18" s="812">
        <v>1186.2949360340042</v>
      </c>
      <c r="V18" s="812">
        <v>1239.8869564046236</v>
      </c>
      <c r="W18" s="812">
        <v>1261.9862975949939</v>
      </c>
      <c r="X18" s="812">
        <v>1255.3251255061634</v>
      </c>
      <c r="Y18" s="812">
        <v>1269.9838254115161</v>
      </c>
      <c r="Z18" s="701"/>
      <c r="AA18" t="s">
        <v>1128</v>
      </c>
      <c r="AE18" s="812">
        <v>903.42676029456754</v>
      </c>
      <c r="AF18" s="812">
        <v>947.22257529076217</v>
      </c>
      <c r="AG18" s="812">
        <v>1007.7059534979903</v>
      </c>
      <c r="AH18" s="812">
        <v>1095.5480889549835</v>
      </c>
      <c r="AI18" s="812">
        <v>1170.1100743379557</v>
      </c>
      <c r="AJ18" s="812">
        <v>1259.6897946214078</v>
      </c>
      <c r="AK18" s="812">
        <v>1307.1163053111861</v>
      </c>
      <c r="AL18" s="812">
        <v>1362.5619225283608</v>
      </c>
      <c r="AM18" s="812">
        <v>1494.9737079619383</v>
      </c>
      <c r="AN18" s="812">
        <v>1651.493102344783</v>
      </c>
      <c r="AO18" s="812">
        <v>1688.8000682311683</v>
      </c>
    </row>
    <row r="19" spans="1:41" x14ac:dyDescent="0.2">
      <c r="A19" t="s">
        <v>1129</v>
      </c>
      <c r="B19" s="808">
        <v>1695.35</v>
      </c>
      <c r="C19" s="808">
        <v>1350.56</v>
      </c>
      <c r="D19" s="372"/>
      <c r="G19" s="810"/>
      <c r="H19" s="810"/>
      <c r="I19" s="704"/>
      <c r="M19" s="812"/>
      <c r="N19" s="812"/>
      <c r="O19" s="812"/>
      <c r="P19" s="812"/>
      <c r="Q19" s="812"/>
      <c r="R19" s="812"/>
      <c r="S19" s="812"/>
      <c r="T19" s="812"/>
      <c r="U19" s="812"/>
      <c r="V19" s="812"/>
      <c r="W19" s="812"/>
      <c r="X19" s="812"/>
      <c r="Y19" s="812"/>
      <c r="Z19" s="701"/>
    </row>
    <row r="20" spans="1:41" ht="14.25" x14ac:dyDescent="0.2">
      <c r="A20" t="s">
        <v>1096</v>
      </c>
      <c r="B20" s="808">
        <v>700.89</v>
      </c>
      <c r="C20" s="808">
        <v>471.69</v>
      </c>
      <c r="D20" s="372"/>
      <c r="E20" t="s">
        <v>1096</v>
      </c>
      <c r="F20" s="809" t="s">
        <v>1127</v>
      </c>
      <c r="G20" s="811">
        <v>385.15265655517578</v>
      </c>
      <c r="H20" s="811">
        <v>6.5479888916015625</v>
      </c>
      <c r="I20" s="702"/>
      <c r="J20" t="s">
        <v>1096</v>
      </c>
      <c r="K20" s="812">
        <v>406.13718918922996</v>
      </c>
      <c r="M20" s="812">
        <v>398.89781365452711</v>
      </c>
      <c r="N20" s="812">
        <v>418.9925003660116</v>
      </c>
      <c r="O20" s="812">
        <v>406.26991482311576</v>
      </c>
      <c r="P20" s="812">
        <v>446.39177944477285</v>
      </c>
      <c r="Q20" s="812">
        <v>382.80665593514942</v>
      </c>
      <c r="R20" s="812">
        <v>448.57413786058737</v>
      </c>
      <c r="S20" s="812">
        <v>426.89491310882329</v>
      </c>
      <c r="T20" s="812">
        <v>376.81820403750157</v>
      </c>
      <c r="U20" s="812">
        <v>353.46262822614676</v>
      </c>
      <c r="V20" s="812">
        <v>406.20414936817104</v>
      </c>
      <c r="W20" s="812">
        <v>427.95277956888197</v>
      </c>
      <c r="X20" s="812">
        <v>421.39731709267755</v>
      </c>
      <c r="Y20" s="812">
        <v>435.82338558623616</v>
      </c>
      <c r="Z20" s="701"/>
      <c r="AA20" t="s">
        <v>1096</v>
      </c>
      <c r="AB20" s="812">
        <v>319.95367492125018</v>
      </c>
      <c r="AC20" s="812">
        <v>337.09493014794083</v>
      </c>
      <c r="AD20" s="812">
        <v>353.24325491838357</v>
      </c>
      <c r="AE20" s="812">
        <v>376.94703715326239</v>
      </c>
      <c r="AF20" s="812">
        <v>420.047817780755</v>
      </c>
      <c r="AG20" s="812">
        <v>479.57133183916068</v>
      </c>
      <c r="AH20" s="812">
        <v>566.01942198658423</v>
      </c>
      <c r="AI20" s="812">
        <v>639.39811921506805</v>
      </c>
      <c r="AJ20" s="812">
        <v>727.55621934749888</v>
      </c>
      <c r="AK20" s="812">
        <v>774.23007760877567</v>
      </c>
      <c r="AL20" s="812">
        <v>828.79578083929698</v>
      </c>
      <c r="AM20" s="812">
        <v>959.10620498547155</v>
      </c>
      <c r="AN20" s="812">
        <v>1113.1416546540993</v>
      </c>
      <c r="AO20" s="812">
        <v>1149.8565606040008</v>
      </c>
    </row>
    <row r="21" spans="1:41" ht="14.25" x14ac:dyDescent="0.2">
      <c r="A21" t="s">
        <v>1098</v>
      </c>
      <c r="B21" s="808">
        <v>899.81</v>
      </c>
      <c r="C21" s="808">
        <v>647.83000000000004</v>
      </c>
      <c r="D21" s="372"/>
      <c r="E21" t="s">
        <v>1098</v>
      </c>
      <c r="F21" s="809" t="s">
        <v>1127</v>
      </c>
      <c r="G21" s="811">
        <v>525.48777770996094</v>
      </c>
      <c r="H21" s="811">
        <v>10.060882568359375</v>
      </c>
      <c r="I21" s="702"/>
      <c r="J21" t="s">
        <v>1098</v>
      </c>
      <c r="K21" s="812">
        <v>547.22725346841469</v>
      </c>
      <c r="M21" s="812">
        <v>538.07321908271194</v>
      </c>
      <c r="N21" s="812">
        <v>558.04280048593478</v>
      </c>
      <c r="O21" s="812">
        <v>545.39942191793125</v>
      </c>
      <c r="P21" s="812">
        <v>585.27149943610095</v>
      </c>
      <c r="Q21" s="812">
        <v>522.08223865715752</v>
      </c>
      <c r="R21" s="812">
        <v>587.44026999140306</v>
      </c>
      <c r="S21" s="812">
        <v>565.8960139696477</v>
      </c>
      <c r="T21" s="812">
        <v>516.13107060351911</v>
      </c>
      <c r="U21" s="812">
        <v>492.9209019614724</v>
      </c>
      <c r="V21" s="812">
        <v>545.33406548593803</v>
      </c>
      <c r="W21" s="812">
        <v>566.94729348033388</v>
      </c>
      <c r="X21" s="812">
        <v>560.43264434451783</v>
      </c>
      <c r="Y21" s="812">
        <v>574.76889913889056</v>
      </c>
      <c r="Z21" s="701"/>
      <c r="AA21" t="s">
        <v>1098</v>
      </c>
      <c r="AC21" s="812">
        <v>438.61233996708393</v>
      </c>
      <c r="AD21" s="812">
        <v>454.66012855694038</v>
      </c>
      <c r="AE21" s="812">
        <v>478.21633880241353</v>
      </c>
      <c r="AF21" s="812">
        <v>521.04878341082781</v>
      </c>
      <c r="AG21" s="812">
        <v>580.20171607757629</v>
      </c>
      <c r="AH21" s="812">
        <v>666.11160318276359</v>
      </c>
      <c r="AI21" s="812">
        <v>739.0334601485381</v>
      </c>
      <c r="AJ21" s="812">
        <v>826.64271220924047</v>
      </c>
      <c r="AK21" s="812">
        <v>873.02598818708168</v>
      </c>
      <c r="AL21" s="812">
        <v>927.25197656798889</v>
      </c>
      <c r="AM21" s="812">
        <v>1056.7511201164898</v>
      </c>
      <c r="AN21" s="812">
        <v>1209.8275845073151</v>
      </c>
      <c r="AO21" s="812">
        <v>1246.3139104375582</v>
      </c>
    </row>
    <row r="22" spans="1:41" ht="14.25" x14ac:dyDescent="0.2">
      <c r="A22" t="s">
        <v>1100</v>
      </c>
      <c r="B22" s="808">
        <v>1089.1099999999999</v>
      </c>
      <c r="C22" s="808">
        <v>814.5</v>
      </c>
      <c r="D22" s="372"/>
      <c r="E22" t="s">
        <v>1100</v>
      </c>
      <c r="F22" s="809" t="s">
        <v>1127</v>
      </c>
      <c r="G22" s="811">
        <v>618.61175537109375</v>
      </c>
      <c r="H22" s="811">
        <v>11.438201904296875</v>
      </c>
      <c r="I22" s="702"/>
      <c r="J22" t="s">
        <v>1100</v>
      </c>
      <c r="K22" s="812">
        <v>662.07507974741975</v>
      </c>
      <c r="M22" s="812">
        <v>652.12655168119704</v>
      </c>
      <c r="N22" s="812">
        <v>672.11015364420552</v>
      </c>
      <c r="O22" s="812">
        <v>659.45789914547208</v>
      </c>
      <c r="P22" s="812">
        <v>699.35796478211614</v>
      </c>
      <c r="Q22" s="812">
        <v>636.12434826781202</v>
      </c>
      <c r="R22" s="812">
        <v>701.52825856356571</v>
      </c>
      <c r="S22" s="812">
        <v>679.96887900036711</v>
      </c>
      <c r="T22" s="812">
        <v>630.16900174021066</v>
      </c>
      <c r="U22" s="812">
        <v>606.94253760530285</v>
      </c>
      <c r="V22" s="812">
        <v>659.39249764685155</v>
      </c>
      <c r="W22" s="812">
        <v>681.02089674643582</v>
      </c>
      <c r="X22" s="812">
        <v>674.50167388790283</v>
      </c>
      <c r="Y22" s="812">
        <v>688.84799498341704</v>
      </c>
      <c r="Z22" s="701"/>
      <c r="AA22" t="s">
        <v>1100</v>
      </c>
      <c r="AC22" s="812">
        <v>557.15547087948266</v>
      </c>
      <c r="AD22" s="812">
        <v>573.21452468930192</v>
      </c>
      <c r="AE22" s="812">
        <v>596.78727163904136</v>
      </c>
      <c r="AF22" s="812">
        <v>639.64978620686941</v>
      </c>
      <c r="AG22" s="812">
        <v>698.84424394636358</v>
      </c>
      <c r="AH22" s="812">
        <v>784.81443849420702</v>
      </c>
      <c r="AI22" s="812">
        <v>857.78748697871697</v>
      </c>
      <c r="AJ22" s="812">
        <v>945.45824185684967</v>
      </c>
      <c r="AK22" s="812">
        <v>991.87407893034185</v>
      </c>
      <c r="AL22" s="812">
        <v>1046.1381382973575</v>
      </c>
      <c r="AM22" s="812">
        <v>1175.7281863140115</v>
      </c>
      <c r="AN22" s="812">
        <v>1328.9121086048649</v>
      </c>
      <c r="AO22" s="812">
        <v>1365.4240547875124</v>
      </c>
    </row>
    <row r="23" spans="1:41" ht="14.25" x14ac:dyDescent="0.2">
      <c r="A23" t="s">
        <v>1130</v>
      </c>
      <c r="B23" s="808">
        <v>1278.55</v>
      </c>
      <c r="C23" s="808">
        <v>981.16</v>
      </c>
      <c r="D23" s="372"/>
      <c r="E23" t="s">
        <v>1130</v>
      </c>
      <c r="F23" s="809" t="s">
        <v>1127</v>
      </c>
      <c r="G23" s="811">
        <v>711.7357177734375</v>
      </c>
      <c r="H23" s="811">
        <v>12.815521240234375</v>
      </c>
      <c r="I23" s="702"/>
      <c r="J23" t="s">
        <v>1130</v>
      </c>
      <c r="K23" s="113">
        <v>776.92290602642481</v>
      </c>
      <c r="M23" s="812">
        <v>766.17988427968214</v>
      </c>
      <c r="N23" s="812">
        <v>786.17750680247627</v>
      </c>
      <c r="O23" s="812">
        <v>773.51637637301292</v>
      </c>
      <c r="P23" s="812">
        <v>813.44443012813133</v>
      </c>
      <c r="Q23" s="812">
        <v>750.16645787846653</v>
      </c>
      <c r="R23" s="812">
        <v>815.61624713572837</v>
      </c>
      <c r="S23" s="812">
        <v>794.04174403108652</v>
      </c>
      <c r="T23" s="812">
        <v>744.20693287690221</v>
      </c>
      <c r="U23" s="812">
        <v>720.9641732491333</v>
      </c>
      <c r="V23" s="812">
        <v>773.45092980776508</v>
      </c>
      <c r="W23" s="812">
        <v>795.09450001253776</v>
      </c>
      <c r="X23" s="812">
        <v>788.57070343128782</v>
      </c>
      <c r="Y23" s="812">
        <v>802.92709082794352</v>
      </c>
      <c r="Z23" s="701"/>
      <c r="AA23" t="s">
        <v>1130</v>
      </c>
      <c r="AD23" s="812">
        <v>691.76892082166341</v>
      </c>
      <c r="AE23" s="812">
        <v>715.35820447566925</v>
      </c>
      <c r="AF23" s="812">
        <v>758.25078900291101</v>
      </c>
      <c r="AG23" s="812">
        <v>817.48677181515086</v>
      </c>
      <c r="AH23" s="812">
        <v>903.51727380565046</v>
      </c>
      <c r="AI23" s="812">
        <v>976.54151380889584</v>
      </c>
      <c r="AJ23" s="812">
        <v>1064.2737715044589</v>
      </c>
      <c r="AK23" s="812">
        <v>1110.7221696736019</v>
      </c>
      <c r="AL23" s="812">
        <v>1165.024300026726</v>
      </c>
      <c r="AM23" s="812">
        <v>1294.7052525115332</v>
      </c>
      <c r="AN23" s="812">
        <v>1447.9966327024147</v>
      </c>
      <c r="AO23" s="812">
        <v>1484.5341991374667</v>
      </c>
    </row>
    <row r="24" spans="1:41" x14ac:dyDescent="0.2">
      <c r="A24" t="s">
        <v>1131</v>
      </c>
      <c r="B24" s="808">
        <v>1467.99</v>
      </c>
      <c r="C24" s="808">
        <v>1147.83</v>
      </c>
      <c r="D24" s="372"/>
    </row>
    <row r="25" spans="1:41" x14ac:dyDescent="0.2">
      <c r="B25" s="808"/>
      <c r="C25" s="808"/>
      <c r="D25" s="372"/>
    </row>
    <row r="26" spans="1:41" ht="28.5" x14ac:dyDescent="0.45">
      <c r="A26" s="371" t="s">
        <v>1132</v>
      </c>
      <c r="B26" s="808"/>
      <c r="C26" s="808"/>
      <c r="H26" s="369"/>
      <c r="J26" s="371" t="s">
        <v>1133</v>
      </c>
      <c r="AA26" s="368" t="s">
        <v>231</v>
      </c>
    </row>
    <row r="27" spans="1:41" ht="14.25" x14ac:dyDescent="0.2">
      <c r="A27" t="s">
        <v>1085</v>
      </c>
      <c r="B27" s="808">
        <v>805.02</v>
      </c>
      <c r="C27" s="808">
        <v>553.04999999999995</v>
      </c>
      <c r="G27" s="706"/>
      <c r="H27" s="702"/>
      <c r="I27" s="702"/>
      <c r="AA27" t="s">
        <v>1085</v>
      </c>
      <c r="AC27" s="812">
        <v>616.28517039522762</v>
      </c>
      <c r="AD27" s="812">
        <v>632.59027464038058</v>
      </c>
      <c r="AE27" s="812">
        <v>656.52418926287396</v>
      </c>
      <c r="AF27" s="812">
        <v>700.04342220788442</v>
      </c>
      <c r="AG27" s="812">
        <v>760.14483222133526</v>
      </c>
      <c r="AH27" s="812">
        <v>847.43222177491623</v>
      </c>
      <c r="AI27" s="812">
        <v>921.52332917628451</v>
      </c>
      <c r="AJ27" s="812">
        <v>1010.5373299776417</v>
      </c>
      <c r="AK27" s="812">
        <v>1057.6643298851261</v>
      </c>
      <c r="AL27" s="812">
        <v>1112.7597955713366</v>
      </c>
      <c r="AM27" s="812">
        <v>1244.3353638427268</v>
      </c>
      <c r="AN27" s="812">
        <v>1399.8662978149264</v>
      </c>
      <c r="AO27" s="812">
        <v>1436.9376569574633</v>
      </c>
    </row>
    <row r="28" spans="1:41" ht="14.25" x14ac:dyDescent="0.2">
      <c r="A28" t="s">
        <v>1087</v>
      </c>
      <c r="B28" s="808">
        <v>994.46</v>
      </c>
      <c r="C28" s="808">
        <v>719.84</v>
      </c>
      <c r="G28" s="706"/>
      <c r="H28" s="702"/>
      <c r="I28" s="702"/>
      <c r="J28" t="s">
        <v>1085</v>
      </c>
      <c r="K28">
        <v>2986</v>
      </c>
      <c r="O28" s="379"/>
      <c r="AA28" t="s">
        <v>1087</v>
      </c>
      <c r="AD28" s="812">
        <v>727.26595872571625</v>
      </c>
      <c r="AE28" s="812">
        <v>751.17716264232752</v>
      </c>
      <c r="AF28" s="812">
        <v>794.65509750445267</v>
      </c>
      <c r="AG28" s="812">
        <v>854.69947507095083</v>
      </c>
      <c r="AH28" s="812">
        <v>941.9040312894889</v>
      </c>
      <c r="AI28" s="812">
        <v>1015.9248324235871</v>
      </c>
      <c r="AJ28" s="812">
        <v>1104.8543630065287</v>
      </c>
      <c r="AK28" s="812">
        <v>1151.9366432348895</v>
      </c>
      <c r="AL28" s="812">
        <v>1206.9798264015117</v>
      </c>
      <c r="AM28" s="812">
        <v>1338.4305363011013</v>
      </c>
      <c r="AN28" s="812">
        <v>1493.8138789567422</v>
      </c>
      <c r="AO28" s="812">
        <v>1530.8500631577742</v>
      </c>
    </row>
    <row r="29" spans="1:41" ht="14.25" x14ac:dyDescent="0.2">
      <c r="A29" t="s">
        <v>1089</v>
      </c>
      <c r="B29" s="808">
        <v>1183.9000000000001</v>
      </c>
      <c r="C29" s="808">
        <v>886.51</v>
      </c>
      <c r="G29" s="706"/>
      <c r="H29" s="702"/>
      <c r="I29" s="702"/>
      <c r="J29" t="s">
        <v>1087</v>
      </c>
      <c r="K29">
        <v>622</v>
      </c>
      <c r="P29" s="379"/>
      <c r="AA29" t="s">
        <v>1089</v>
      </c>
      <c r="AD29" s="812">
        <v>805.54183409863469</v>
      </c>
      <c r="AE29" s="812">
        <v>829.54620407775519</v>
      </c>
      <c r="AF29" s="812">
        <v>873.19354663419108</v>
      </c>
      <c r="AG29" s="812">
        <v>933.4718802380952</v>
      </c>
      <c r="AH29" s="812">
        <v>1021.0162202489987</v>
      </c>
      <c r="AI29" s="812">
        <v>1095.325433413512</v>
      </c>
      <c r="AJ29" s="812">
        <v>1184.6014695545207</v>
      </c>
      <c r="AK29" s="812">
        <v>1231.8671990611044</v>
      </c>
      <c r="AL29" s="812">
        <v>1287.124850626325</v>
      </c>
      <c r="AM29" s="812">
        <v>1419.0877430052062</v>
      </c>
      <c r="AN29" s="812">
        <v>1575.0765208966147</v>
      </c>
      <c r="AO29" s="812">
        <v>1612.2570096483357</v>
      </c>
    </row>
    <row r="30" spans="1:41" ht="14.25" x14ac:dyDescent="0.2">
      <c r="A30" t="s">
        <v>1128</v>
      </c>
      <c r="B30" s="808">
        <v>1373.34</v>
      </c>
      <c r="C30" s="808">
        <v>1053.17</v>
      </c>
      <c r="G30" s="706"/>
      <c r="H30" s="702"/>
      <c r="I30" s="702"/>
      <c r="J30" t="s">
        <v>1089</v>
      </c>
      <c r="K30">
        <v>858</v>
      </c>
      <c r="AA30" t="s">
        <v>1128</v>
      </c>
      <c r="AE30" s="812">
        <v>898.59512136185811</v>
      </c>
      <c r="AF30" s="812">
        <v>942.3909369125729</v>
      </c>
      <c r="AG30" s="812">
        <v>1002.8743147987631</v>
      </c>
      <c r="AH30" s="812">
        <v>1090.7164486797519</v>
      </c>
      <c r="AI30" s="812">
        <v>1165.278436572657</v>
      </c>
      <c r="AJ30" s="812">
        <v>1254.8581574398147</v>
      </c>
      <c r="AK30" s="812">
        <v>1302.2846671372938</v>
      </c>
      <c r="AL30" s="812">
        <v>1357.7302834789102</v>
      </c>
      <c r="AM30" s="812">
        <v>1490.1420697296753</v>
      </c>
      <c r="AN30" s="812">
        <v>1646.6614628283685</v>
      </c>
      <c r="AO30" s="812">
        <v>1683.9684250957805</v>
      </c>
    </row>
    <row r="31" spans="1:41" ht="15" x14ac:dyDescent="0.25">
      <c r="A31" t="s">
        <v>1129</v>
      </c>
      <c r="B31" s="808">
        <v>1562.78</v>
      </c>
      <c r="C31" s="808">
        <v>1218</v>
      </c>
      <c r="H31" s="49"/>
      <c r="I31" s="703"/>
      <c r="J31" t="s">
        <v>1091</v>
      </c>
      <c r="K31">
        <v>409</v>
      </c>
    </row>
    <row r="32" spans="1:41" ht="14.25" x14ac:dyDescent="0.2">
      <c r="A32" t="s">
        <v>1096</v>
      </c>
      <c r="B32" s="808">
        <v>568.32000000000005</v>
      </c>
      <c r="C32" s="808">
        <v>339.12</v>
      </c>
      <c r="G32" s="706"/>
      <c r="H32" s="702"/>
      <c r="I32" s="702"/>
      <c r="AA32" t="s">
        <v>1096</v>
      </c>
      <c r="AB32" s="812">
        <v>312.71429925986797</v>
      </c>
      <c r="AC32" s="812">
        <v>329.85555488004417</v>
      </c>
      <c r="AD32" s="812">
        <v>346.00387906194021</v>
      </c>
      <c r="AE32" s="812">
        <v>369.70766205063813</v>
      </c>
      <c r="AF32" s="812">
        <v>412.80844234326213</v>
      </c>
      <c r="AG32" s="812">
        <v>472.33195620578942</v>
      </c>
      <c r="AH32" s="812">
        <v>558.7800468116518</v>
      </c>
      <c r="AI32" s="812">
        <v>632.15874383675543</v>
      </c>
      <c r="AJ32" s="812">
        <v>720.3168437591379</v>
      </c>
      <c r="AK32" s="812">
        <v>766.9907015336363</v>
      </c>
      <c r="AL32" s="812">
        <v>821.55640516424944</v>
      </c>
      <c r="AM32" s="812">
        <v>951.8668285835904</v>
      </c>
      <c r="AN32" s="812">
        <v>1105.9022792391113</v>
      </c>
      <c r="AO32" s="812">
        <v>1142.6171860158697</v>
      </c>
    </row>
    <row r="33" spans="1:42" ht="14.25" x14ac:dyDescent="0.2">
      <c r="A33" t="s">
        <v>1098</v>
      </c>
      <c r="B33" s="808">
        <v>767.11</v>
      </c>
      <c r="C33" s="808">
        <v>515.27</v>
      </c>
      <c r="G33" s="706"/>
      <c r="H33" s="702"/>
      <c r="I33" s="702"/>
      <c r="J33" t="s">
        <v>1096</v>
      </c>
      <c r="K33">
        <v>2705</v>
      </c>
      <c r="AA33" t="s">
        <v>1098</v>
      </c>
      <c r="AC33" s="812">
        <v>429.45830404830633</v>
      </c>
      <c r="AD33" s="812">
        <v>445.50609323763439</v>
      </c>
      <c r="AE33" s="812">
        <v>469.0623023627835</v>
      </c>
      <c r="AF33" s="812">
        <v>511.89474740360362</v>
      </c>
      <c r="AG33" s="812">
        <v>571.04768136756923</v>
      </c>
      <c r="AH33" s="812">
        <v>656.957566625205</v>
      </c>
      <c r="AI33" s="812">
        <v>729.87942567438847</v>
      </c>
      <c r="AJ33" s="812">
        <v>817.48867557306255</v>
      </c>
      <c r="AK33" s="812">
        <v>863.87195430257634</v>
      </c>
      <c r="AL33" s="812">
        <v>918.09794386277201</v>
      </c>
      <c r="AM33" s="812">
        <v>1047.5970849740772</v>
      </c>
      <c r="AN33" s="812">
        <v>1200.6735477138989</v>
      </c>
      <c r="AO33" s="812">
        <v>1237.1598764744333</v>
      </c>
    </row>
    <row r="34" spans="1:42" ht="14.25" x14ac:dyDescent="0.2">
      <c r="A34" t="s">
        <v>1100</v>
      </c>
      <c r="B34" s="808">
        <v>956.55</v>
      </c>
      <c r="C34" s="808">
        <v>681.93</v>
      </c>
      <c r="G34" s="706"/>
      <c r="H34" s="702"/>
      <c r="I34" s="702"/>
      <c r="J34" t="s">
        <v>1098</v>
      </c>
      <c r="K34">
        <v>228</v>
      </c>
      <c r="AA34" t="s">
        <v>1100</v>
      </c>
      <c r="AC34" s="812">
        <v>547.20694039213856</v>
      </c>
      <c r="AD34" s="812">
        <v>563.26599674234615</v>
      </c>
      <c r="AE34" s="812">
        <v>586.8387402094877</v>
      </c>
      <c r="AF34" s="812">
        <v>629.70125484887603</v>
      </c>
      <c r="AG34" s="812">
        <v>688.89571430581566</v>
      </c>
      <c r="AH34" s="812">
        <v>774.86591128670705</v>
      </c>
      <c r="AI34" s="812">
        <v>847.83895938956232</v>
      </c>
      <c r="AJ34" s="812">
        <v>935.5097109282176</v>
      </c>
      <c r="AK34" s="812">
        <v>981.92555143660081</v>
      </c>
      <c r="AL34" s="812">
        <v>1036.1896051742115</v>
      </c>
      <c r="AM34" s="812">
        <v>1165.7796546220702</v>
      </c>
      <c r="AN34" s="812">
        <v>1318.9635811111241</v>
      </c>
      <c r="AO34" s="812">
        <v>1355.4755232863984</v>
      </c>
    </row>
    <row r="35" spans="1:42" ht="14.25" x14ac:dyDescent="0.2">
      <c r="A35" t="s">
        <v>1130</v>
      </c>
      <c r="B35" s="808">
        <v>1145.99</v>
      </c>
      <c r="C35" s="808">
        <v>848.6</v>
      </c>
      <c r="G35" s="706"/>
      <c r="H35" s="702"/>
      <c r="I35" s="702"/>
      <c r="J35" t="s">
        <v>1100</v>
      </c>
      <c r="K35">
        <v>188</v>
      </c>
      <c r="AA35" t="s">
        <v>1130</v>
      </c>
      <c r="AD35" s="812">
        <v>681.02590024705796</v>
      </c>
      <c r="AE35" s="812">
        <v>704.61517805619189</v>
      </c>
      <c r="AF35" s="812">
        <v>747.50776229414851</v>
      </c>
      <c r="AG35" s="812">
        <v>806.74374724406209</v>
      </c>
      <c r="AH35" s="812">
        <v>892.77425594820909</v>
      </c>
      <c r="AI35" s="812">
        <v>965.79849310473617</v>
      </c>
      <c r="AJ35" s="812">
        <v>1053.5307462833725</v>
      </c>
      <c r="AK35" s="812">
        <v>1099.9791485706253</v>
      </c>
      <c r="AL35" s="812">
        <v>1154.281266485651</v>
      </c>
      <c r="AM35" s="812">
        <v>1283.9622242700632</v>
      </c>
      <c r="AN35" s="812">
        <v>1437.2536145083493</v>
      </c>
      <c r="AO35" s="812">
        <v>1473.7911700983634</v>
      </c>
    </row>
    <row r="36" spans="1:42" ht="15" x14ac:dyDescent="0.25">
      <c r="A36" t="s">
        <v>1131</v>
      </c>
      <c r="B36" s="808">
        <v>1335.43</v>
      </c>
      <c r="C36" s="808">
        <v>1015.26</v>
      </c>
      <c r="H36" s="51"/>
      <c r="I36" s="51"/>
      <c r="J36" t="s">
        <v>1102</v>
      </c>
      <c r="K36">
        <v>112</v>
      </c>
    </row>
    <row r="37" spans="1:42" ht="15" x14ac:dyDescent="0.25">
      <c r="F37" s="52"/>
      <c r="G37" s="51"/>
      <c r="H37" s="51"/>
      <c r="I37" s="51"/>
      <c r="J37" s="369"/>
    </row>
    <row r="38" spans="1:42" ht="28.5" x14ac:dyDescent="0.45">
      <c r="J38" s="371" t="s">
        <v>18</v>
      </c>
      <c r="K38" s="705">
        <v>8108</v>
      </c>
      <c r="AA38" s="368" t="s">
        <v>238</v>
      </c>
    </row>
    <row r="39" spans="1:42" x14ac:dyDescent="0.2">
      <c r="J39" s="369"/>
      <c r="AA39" t="s">
        <v>1085</v>
      </c>
      <c r="AC39" s="812">
        <v>636.5749508786057</v>
      </c>
      <c r="AD39" s="812">
        <v>652.88005438802702</v>
      </c>
      <c r="AE39" s="812">
        <v>676.81396993914336</v>
      </c>
      <c r="AF39" s="812">
        <v>720.3332033050076</v>
      </c>
      <c r="AG39" s="812">
        <v>780.43461219008236</v>
      </c>
      <c r="AH39" s="812">
        <v>867.72200045670468</v>
      </c>
      <c r="AI39" s="812">
        <v>941.81310919687598</v>
      </c>
      <c r="AJ39" s="812">
        <v>1030.82711066306</v>
      </c>
      <c r="AK39" s="812">
        <v>1077.9541100338035</v>
      </c>
      <c r="AL39" s="812">
        <v>1133.0495739939033</v>
      </c>
      <c r="AM39" s="812">
        <v>1264.6251434119679</v>
      </c>
      <c r="AN39" s="812">
        <v>1420.1560769450159</v>
      </c>
      <c r="AO39" s="812">
        <v>1457.2274363071283</v>
      </c>
      <c r="AP39" s="701"/>
    </row>
    <row r="40" spans="1:42" ht="15" x14ac:dyDescent="0.25">
      <c r="B40" s="701"/>
      <c r="C40" s="701"/>
      <c r="J40" s="371" t="s">
        <v>1134</v>
      </c>
      <c r="AA40" t="s">
        <v>1087</v>
      </c>
      <c r="AD40" s="812">
        <v>747.53648536069522</v>
      </c>
      <c r="AE40" s="812">
        <v>771.44768702483145</v>
      </c>
      <c r="AF40" s="812">
        <v>814.92562247201511</v>
      </c>
      <c r="AG40" s="812">
        <v>874.9700002579101</v>
      </c>
      <c r="AH40" s="812">
        <v>962.17455979665476</v>
      </c>
      <c r="AI40" s="812">
        <v>1036.1953578591961</v>
      </c>
      <c r="AJ40" s="812">
        <v>1125.1248905483483</v>
      </c>
      <c r="AK40" s="812">
        <v>1172.2071702794092</v>
      </c>
      <c r="AL40" s="812">
        <v>1227.2503489995877</v>
      </c>
      <c r="AM40" s="812">
        <v>1358.7010633456209</v>
      </c>
      <c r="AN40" s="812">
        <v>1514.0844074054019</v>
      </c>
      <c r="AO40" s="812">
        <v>1551.1205845272273</v>
      </c>
      <c r="AP40" s="701"/>
    </row>
    <row r="41" spans="1:42" x14ac:dyDescent="0.2">
      <c r="B41" s="701"/>
      <c r="C41" s="701"/>
      <c r="J41" t="s">
        <v>1135</v>
      </c>
      <c r="K41">
        <v>261</v>
      </c>
      <c r="AA41" t="s">
        <v>1089</v>
      </c>
      <c r="AD41" s="812">
        <v>825.89134191201424</v>
      </c>
      <c r="AE41" s="812">
        <v>849.89571316849219</v>
      </c>
      <c r="AF41" s="812">
        <v>893.54305461256274</v>
      </c>
      <c r="AG41" s="812">
        <v>953.82138820582213</v>
      </c>
      <c r="AH41" s="812">
        <v>1041.3657271841951</v>
      </c>
      <c r="AI41" s="812">
        <v>1115.6749414770409</v>
      </c>
      <c r="AJ41" s="812">
        <v>1204.9509768303453</v>
      </c>
      <c r="AK41" s="812">
        <v>1252.2167057408292</v>
      </c>
      <c r="AL41" s="812">
        <v>1307.4743586685647</v>
      </c>
      <c r="AM41" s="812">
        <v>1439.4372520054637</v>
      </c>
      <c r="AN41" s="812">
        <v>1595.4260285343573</v>
      </c>
      <c r="AO41" s="812">
        <v>1632.6065182228076</v>
      </c>
      <c r="AP41" s="701"/>
    </row>
    <row r="42" spans="1:42" x14ac:dyDescent="0.2">
      <c r="B42" s="701"/>
      <c r="C42" s="701"/>
      <c r="J42" t="s">
        <v>1136</v>
      </c>
      <c r="K42">
        <v>1352</v>
      </c>
      <c r="AA42" t="s">
        <v>1128</v>
      </c>
      <c r="AE42" s="812">
        <v>919.01385133618169</v>
      </c>
      <c r="AF42" s="812">
        <v>962.80966691608182</v>
      </c>
      <c r="AG42" s="812">
        <v>1023.2930454151626</v>
      </c>
      <c r="AH42" s="812">
        <v>1111.1351785081492</v>
      </c>
      <c r="AI42" s="812">
        <v>1185.6971670431303</v>
      </c>
      <c r="AJ42" s="812">
        <v>1275.2768852252434</v>
      </c>
      <c r="AK42" s="812">
        <v>1322.7033963236152</v>
      </c>
      <c r="AL42" s="812">
        <v>1378.1490160507226</v>
      </c>
      <c r="AM42" s="812">
        <v>1510.5607978069568</v>
      </c>
      <c r="AN42" s="812">
        <v>1667.0801912558729</v>
      </c>
      <c r="AO42" s="812">
        <v>1704.3871543404725</v>
      </c>
      <c r="AP42" s="701"/>
    </row>
    <row r="43" spans="1:42" x14ac:dyDescent="0.2">
      <c r="B43" s="701"/>
      <c r="C43" s="701"/>
      <c r="J43" t="s">
        <v>1137</v>
      </c>
      <c r="K43">
        <v>1074</v>
      </c>
      <c r="AP43" s="701"/>
    </row>
    <row r="44" spans="1:42" x14ac:dyDescent="0.2">
      <c r="B44" s="701"/>
      <c r="C44" s="701"/>
      <c r="J44" t="s">
        <v>1138</v>
      </c>
      <c r="K44">
        <v>734</v>
      </c>
      <c r="AA44" t="s">
        <v>1096</v>
      </c>
      <c r="AB44" s="812">
        <v>332.80898617064111</v>
      </c>
      <c r="AC44" s="812">
        <v>349.95024176214082</v>
      </c>
      <c r="AD44" s="812">
        <v>366.09856587912606</v>
      </c>
      <c r="AE44" s="812">
        <v>389.80234885636293</v>
      </c>
      <c r="AF44" s="812">
        <v>432.90312973620524</v>
      </c>
      <c r="AG44" s="812">
        <v>492.42664296775422</v>
      </c>
      <c r="AH44" s="812">
        <v>578.87473352193797</v>
      </c>
      <c r="AI44" s="812">
        <v>652.25342985688314</v>
      </c>
      <c r="AJ44" s="812">
        <v>740.41153083284121</v>
      </c>
      <c r="AK44" s="812">
        <v>787.08538854732558</v>
      </c>
      <c r="AL44" s="812">
        <v>841.65109231130282</v>
      </c>
      <c r="AM44" s="812">
        <v>971.96151635078627</v>
      </c>
      <c r="AN44" s="812">
        <v>1125.9969667662522</v>
      </c>
      <c r="AO44" s="812">
        <v>1162.7118712824911</v>
      </c>
      <c r="AP44" s="701"/>
    </row>
    <row r="45" spans="1:42" x14ac:dyDescent="0.2">
      <c r="B45" s="701"/>
      <c r="C45" s="701"/>
      <c r="J45" t="s">
        <v>1139</v>
      </c>
      <c r="K45">
        <v>581</v>
      </c>
      <c r="AA45" t="s">
        <v>1098</v>
      </c>
      <c r="AC45" s="812">
        <v>449.42788669960925</v>
      </c>
      <c r="AD45" s="812">
        <v>465.47567595772909</v>
      </c>
      <c r="AE45" s="812">
        <v>489.03188443426973</v>
      </c>
      <c r="AF45" s="812">
        <v>531.86432904268418</v>
      </c>
      <c r="AG45" s="812">
        <v>591.01726440214077</v>
      </c>
      <c r="AH45" s="812">
        <v>676.92714903082287</v>
      </c>
      <c r="AI45" s="812">
        <v>749.84900709726617</v>
      </c>
      <c r="AJ45" s="812">
        <v>837.45825731041703</v>
      </c>
      <c r="AK45" s="812">
        <v>883.84153313101967</v>
      </c>
      <c r="AL45" s="812">
        <v>938.06752316293068</v>
      </c>
      <c r="AM45" s="812">
        <v>1067.5666677334816</v>
      </c>
      <c r="AN45" s="812">
        <v>1220.6431290581572</v>
      </c>
      <c r="AO45" s="812">
        <v>1257.129456089069</v>
      </c>
      <c r="AP45" s="701"/>
    </row>
    <row r="46" spans="1:42" x14ac:dyDescent="0.2">
      <c r="B46" s="701"/>
      <c r="C46" s="701"/>
      <c r="J46" t="s">
        <v>1140</v>
      </c>
      <c r="K46">
        <v>889</v>
      </c>
      <c r="AA46" t="s">
        <v>1100</v>
      </c>
      <c r="AC46" s="812">
        <v>567.19054409644616</v>
      </c>
      <c r="AD46" s="812">
        <v>583.24959846682054</v>
      </c>
      <c r="AE46" s="812">
        <v>606.82234274497807</v>
      </c>
      <c r="AF46" s="812">
        <v>649.68485626325605</v>
      </c>
      <c r="AG46" s="812">
        <v>708.87931710369355</v>
      </c>
      <c r="AH46" s="812">
        <v>794.84951198548481</v>
      </c>
      <c r="AI46" s="812">
        <v>867.82256161495843</v>
      </c>
      <c r="AJ46" s="812">
        <v>955.49331429857727</v>
      </c>
      <c r="AK46" s="812">
        <v>1001.9091542344788</v>
      </c>
      <c r="AL46" s="812">
        <v>1056.1732104528444</v>
      </c>
      <c r="AM46" s="812">
        <v>1185.7632640989034</v>
      </c>
      <c r="AN46" s="812">
        <v>1338.9471877255482</v>
      </c>
      <c r="AO46" s="812">
        <v>1375.4591251301399</v>
      </c>
      <c r="AP46" s="701"/>
    </row>
    <row r="47" spans="1:42" x14ac:dyDescent="0.2">
      <c r="B47" s="701"/>
      <c r="C47" s="701"/>
      <c r="J47" t="s">
        <v>1141</v>
      </c>
      <c r="K47">
        <v>735</v>
      </c>
      <c r="AA47" t="s">
        <v>1130</v>
      </c>
      <c r="AD47" s="812">
        <v>701.02352097591199</v>
      </c>
      <c r="AE47" s="812">
        <v>724.61280105568642</v>
      </c>
      <c r="AF47" s="812">
        <v>767.50538348382793</v>
      </c>
      <c r="AG47" s="812">
        <v>826.74136980524634</v>
      </c>
      <c r="AH47" s="812">
        <v>912.77187494014674</v>
      </c>
      <c r="AI47" s="812">
        <v>985.7961161326507</v>
      </c>
      <c r="AJ47" s="812">
        <v>1073.5283712867376</v>
      </c>
      <c r="AK47" s="812">
        <v>1119.9767753379379</v>
      </c>
      <c r="AL47" s="812">
        <v>1174.2788977427581</v>
      </c>
      <c r="AM47" s="812">
        <v>1303.9598604643252</v>
      </c>
      <c r="AN47" s="812">
        <v>1457.2512463929393</v>
      </c>
      <c r="AO47" s="812">
        <v>1493.7887941712108</v>
      </c>
      <c r="AP47" s="701"/>
    </row>
    <row r="48" spans="1:42" x14ac:dyDescent="0.2">
      <c r="B48" s="701"/>
      <c r="C48" s="701"/>
      <c r="J48" t="s">
        <v>1142</v>
      </c>
      <c r="K48">
        <v>598</v>
      </c>
      <c r="AP48" s="701"/>
    </row>
    <row r="49" spans="2:42" x14ac:dyDescent="0.2">
      <c r="B49" s="701"/>
      <c r="C49" s="701"/>
      <c r="J49" t="s">
        <v>1143</v>
      </c>
      <c r="K49">
        <v>457</v>
      </c>
      <c r="AP49" s="701"/>
    </row>
    <row r="50" spans="2:42" ht="28.5" x14ac:dyDescent="0.45">
      <c r="J50" t="s">
        <v>1144</v>
      </c>
      <c r="K50">
        <v>350</v>
      </c>
      <c r="AA50" s="368" t="s">
        <v>232</v>
      </c>
      <c r="AP50" s="701"/>
    </row>
    <row r="51" spans="2:42" x14ac:dyDescent="0.2">
      <c r="J51" t="s">
        <v>1145</v>
      </c>
      <c r="K51">
        <v>452</v>
      </c>
      <c r="AA51" t="s">
        <v>1085</v>
      </c>
      <c r="AC51" s="812">
        <v>623.72884519680986</v>
      </c>
      <c r="AD51" s="812">
        <v>640.03394872071715</v>
      </c>
      <c r="AE51" s="812">
        <v>663.96786442584141</v>
      </c>
      <c r="AF51" s="812">
        <v>707.48709754773256</v>
      </c>
      <c r="AG51" s="812">
        <v>767.58850640688502</v>
      </c>
      <c r="AH51" s="812">
        <v>854.87589501202024</v>
      </c>
      <c r="AI51" s="812">
        <v>928.96700381928417</v>
      </c>
      <c r="AJ51" s="812">
        <v>1017.9810049866011</v>
      </c>
      <c r="AK51" s="812">
        <v>1065.1080053088399</v>
      </c>
      <c r="AL51" s="812">
        <v>1120.203468585815</v>
      </c>
      <c r="AM51" s="812">
        <v>1251.7790382844485</v>
      </c>
      <c r="AN51" s="812">
        <v>1407.309971549126</v>
      </c>
      <c r="AO51" s="812">
        <v>1444.3813304476896</v>
      </c>
      <c r="AP51" s="701"/>
    </row>
    <row r="52" spans="2:42" x14ac:dyDescent="0.2">
      <c r="J52" t="s">
        <v>1146</v>
      </c>
      <c r="K52">
        <v>331</v>
      </c>
      <c r="AA52" t="s">
        <v>1087</v>
      </c>
      <c r="AD52" s="812">
        <v>734.70256942841195</v>
      </c>
      <c r="AE52" s="812">
        <v>758.61377177267889</v>
      </c>
      <c r="AF52" s="812">
        <v>802.09170714672985</v>
      </c>
      <c r="AG52" s="812">
        <v>862.13608518127489</v>
      </c>
      <c r="AH52" s="812">
        <v>949.34064354990278</v>
      </c>
      <c r="AI52" s="812">
        <v>1023.3614440989426</v>
      </c>
      <c r="AJ52" s="812">
        <v>1112.2909741845842</v>
      </c>
      <c r="AK52" s="812">
        <v>1159.3732552905328</v>
      </c>
      <c r="AL52" s="812">
        <v>1214.4164341862286</v>
      </c>
      <c r="AM52" s="812">
        <v>1345.8671493220907</v>
      </c>
      <c r="AN52" s="812">
        <v>1501.2504925627902</v>
      </c>
      <c r="AO52" s="812">
        <v>1538.2866703281795</v>
      </c>
      <c r="AP52" s="701"/>
    </row>
    <row r="53" spans="2:42" x14ac:dyDescent="0.2">
      <c r="J53" t="s">
        <v>1147</v>
      </c>
      <c r="K53">
        <v>113</v>
      </c>
      <c r="AA53" t="s">
        <v>1089</v>
      </c>
      <c r="AD53" s="812">
        <v>813.00742100465845</v>
      </c>
      <c r="AE53" s="812">
        <v>837.01179161713537</v>
      </c>
      <c r="AF53" s="812">
        <v>880.65913449291077</v>
      </c>
      <c r="AG53" s="812">
        <v>940.93746652140726</v>
      </c>
      <c r="AH53" s="812">
        <v>1028.4818054678462</v>
      </c>
      <c r="AI53" s="812">
        <v>1102.7910195158649</v>
      </c>
      <c r="AJ53" s="812">
        <v>1192.0670573387276</v>
      </c>
      <c r="AK53" s="812">
        <v>1239.3327855892435</v>
      </c>
      <c r="AL53" s="812">
        <v>1294.5904366222319</v>
      </c>
      <c r="AM53" s="812">
        <v>1426.5533308958597</v>
      </c>
      <c r="AN53" s="812">
        <v>1582.5421091704754</v>
      </c>
      <c r="AO53" s="812">
        <v>1619.7225962190532</v>
      </c>
      <c r="AP53" s="701"/>
    </row>
    <row r="54" spans="2:42" x14ac:dyDescent="0.2">
      <c r="J54" t="s">
        <v>1148</v>
      </c>
      <c r="K54">
        <v>181</v>
      </c>
      <c r="M54" s="701"/>
      <c r="N54" s="701"/>
      <c r="O54" s="701"/>
      <c r="P54" s="701"/>
      <c r="Q54" s="701"/>
      <c r="R54" s="701"/>
      <c r="S54" s="701"/>
      <c r="T54" s="701"/>
      <c r="U54" s="701"/>
      <c r="AA54" t="s">
        <v>1128</v>
      </c>
      <c r="AE54" s="812">
        <v>906.0861041972114</v>
      </c>
      <c r="AF54" s="812">
        <v>949.88191869725654</v>
      </c>
      <c r="AG54" s="812">
        <v>1010.3652974881901</v>
      </c>
      <c r="AH54" s="812">
        <v>1098.2074301142122</v>
      </c>
      <c r="AI54" s="812">
        <v>1172.7694178320057</v>
      </c>
      <c r="AJ54" s="812">
        <v>1262.3491379403467</v>
      </c>
      <c r="AK54" s="812">
        <v>1309.7756468790087</v>
      </c>
      <c r="AL54" s="812">
        <v>1365.2212680653797</v>
      </c>
      <c r="AM54" s="812">
        <v>1497.6330510473949</v>
      </c>
      <c r="AN54" s="812">
        <v>1654.1524437958647</v>
      </c>
      <c r="AO54" s="812">
        <v>1691.4594097989911</v>
      </c>
      <c r="AP54" s="701"/>
    </row>
    <row r="55" spans="2:42" x14ac:dyDescent="0.2">
      <c r="K55" s="379"/>
      <c r="M55" s="701"/>
      <c r="N55" s="701"/>
      <c r="O55" s="701"/>
      <c r="P55" s="701"/>
      <c r="Q55" s="701"/>
      <c r="R55" s="701"/>
      <c r="S55" s="701"/>
      <c r="T55" s="701"/>
      <c r="U55" s="701"/>
      <c r="AP55" s="701"/>
    </row>
    <row r="56" spans="2:42" ht="15" x14ac:dyDescent="0.25">
      <c r="J56" s="371" t="s">
        <v>18</v>
      </c>
      <c r="K56" s="705">
        <v>8108</v>
      </c>
      <c r="AA56" t="s">
        <v>1096</v>
      </c>
      <c r="AB56" s="812">
        <v>320.08640078508313</v>
      </c>
      <c r="AC56" s="812">
        <v>337.22765582197434</v>
      </c>
      <c r="AD56" s="812">
        <v>353.37598018601835</v>
      </c>
      <c r="AE56" s="812">
        <v>377.07976306781666</v>
      </c>
      <c r="AF56" s="812">
        <v>420.18054361258197</v>
      </c>
      <c r="AG56" s="812">
        <v>479.70405737925381</v>
      </c>
      <c r="AH56" s="812">
        <v>566.15214795177519</v>
      </c>
      <c r="AI56" s="812">
        <v>639.53084454011184</v>
      </c>
      <c r="AJ56" s="812">
        <v>727.68894485925205</v>
      </c>
      <c r="AK56" s="812">
        <v>774.36280351395283</v>
      </c>
      <c r="AL56" s="812">
        <v>828.92850594429024</v>
      </c>
      <c r="AM56" s="812">
        <v>959.23893081063022</v>
      </c>
      <c r="AN56" s="812">
        <v>1113.2743808126679</v>
      </c>
      <c r="AO56" s="812">
        <v>1149.9892851888746</v>
      </c>
      <c r="AP56" s="701"/>
    </row>
    <row r="57" spans="2:42" x14ac:dyDescent="0.2">
      <c r="K57" s="379"/>
      <c r="AA57" t="s">
        <v>1098</v>
      </c>
      <c r="AC57" s="812">
        <v>436.78450933054876</v>
      </c>
      <c r="AD57" s="812">
        <v>452.83229772385727</v>
      </c>
      <c r="AE57" s="812">
        <v>476.38850585643871</v>
      </c>
      <c r="AF57" s="812">
        <v>519.22095186034426</v>
      </c>
      <c r="AG57" s="812">
        <v>578.37388672843088</v>
      </c>
      <c r="AH57" s="812">
        <v>664.2837715143512</v>
      </c>
      <c r="AI57" s="812">
        <v>737.20562926631771</v>
      </c>
      <c r="AJ57" s="812">
        <v>824.81487904706307</v>
      </c>
      <c r="AK57" s="812">
        <v>871.19815706900363</v>
      </c>
      <c r="AL57" s="812">
        <v>925.42414419200361</v>
      </c>
      <c r="AM57" s="812">
        <v>1054.9232898632235</v>
      </c>
      <c r="AN57" s="812">
        <v>1207.9997507161838</v>
      </c>
      <c r="AO57" s="812">
        <v>1244.48607931948</v>
      </c>
      <c r="AP57" s="701"/>
    </row>
    <row r="58" spans="2:42" x14ac:dyDescent="0.2">
      <c r="K58" s="705"/>
      <c r="AA58" t="s">
        <v>1100</v>
      </c>
      <c r="AC58" s="812">
        <v>554.53829093350362</v>
      </c>
      <c r="AD58" s="812">
        <v>570.59734337175178</v>
      </c>
      <c r="AE58" s="812">
        <v>594.17009024993115</v>
      </c>
      <c r="AF58" s="812">
        <v>637.03260324343398</v>
      </c>
      <c r="AG58" s="812">
        <v>696.22706327285562</v>
      </c>
      <c r="AH58" s="812">
        <v>782.19725758216487</v>
      </c>
      <c r="AI58" s="812">
        <v>855.17030649603646</v>
      </c>
      <c r="AJ58" s="812">
        <v>942.84106185123721</v>
      </c>
      <c r="AK58" s="812">
        <v>989.25689615773365</v>
      </c>
      <c r="AL58" s="812">
        <v>1043.5209550476811</v>
      </c>
      <c r="AM58" s="812">
        <v>1173.1110075487766</v>
      </c>
      <c r="AN58" s="812">
        <v>1326.2949307937668</v>
      </c>
      <c r="AO58" s="812">
        <v>1362.8068699158041</v>
      </c>
      <c r="AP58" s="701"/>
    </row>
    <row r="59" spans="2:42" x14ac:dyDescent="0.2">
      <c r="AA59" t="s">
        <v>1130</v>
      </c>
      <c r="AD59" s="812">
        <v>688.36238901964634</v>
      </c>
      <c r="AE59" s="812">
        <v>711.95167464342353</v>
      </c>
      <c r="AF59" s="812">
        <v>754.84425462652371</v>
      </c>
      <c r="AG59" s="812">
        <v>814.08023981728036</v>
      </c>
      <c r="AH59" s="812">
        <v>900.11074364997853</v>
      </c>
      <c r="AI59" s="812">
        <v>973.13498372575521</v>
      </c>
      <c r="AJ59" s="812">
        <v>1060.8672446554115</v>
      </c>
      <c r="AK59" s="812">
        <v>1107.3156352464637</v>
      </c>
      <c r="AL59" s="812">
        <v>1161.6177659033588</v>
      </c>
      <c r="AM59" s="812">
        <v>1291.2987252343296</v>
      </c>
      <c r="AN59" s="812">
        <v>1444.5901108713497</v>
      </c>
      <c r="AO59" s="812">
        <v>1481.1276605121282</v>
      </c>
      <c r="AP59" s="701"/>
    </row>
    <row r="60" spans="2:42" x14ac:dyDescent="0.2">
      <c r="AP60" s="701"/>
    </row>
    <row r="61" spans="2:42" x14ac:dyDescent="0.2">
      <c r="AP61" s="701"/>
    </row>
    <row r="62" spans="2:42" ht="28.5" x14ac:dyDescent="0.45">
      <c r="AA62" s="368" t="s">
        <v>239</v>
      </c>
      <c r="AP62" s="701"/>
    </row>
    <row r="63" spans="2:42" x14ac:dyDescent="0.2">
      <c r="AA63" t="s">
        <v>1085</v>
      </c>
      <c r="AC63" s="812">
        <v>664.24024087328621</v>
      </c>
      <c r="AD63" s="812">
        <v>680.54534493088477</v>
      </c>
      <c r="AE63" s="812">
        <v>704.47925939022093</v>
      </c>
      <c r="AF63" s="812">
        <v>747.99849247551595</v>
      </c>
      <c r="AG63" s="812">
        <v>808.09990271769152</v>
      </c>
      <c r="AH63" s="812">
        <v>895.38729068544671</v>
      </c>
      <c r="AI63" s="812">
        <v>969.47839970008783</v>
      </c>
      <c r="AJ63" s="812">
        <v>1058.4924003794586</v>
      </c>
      <c r="AK63" s="812">
        <v>1105.6193998050958</v>
      </c>
      <c r="AL63" s="812">
        <v>1160.7148658328688</v>
      </c>
      <c r="AM63" s="812">
        <v>1292.2904332625517</v>
      </c>
      <c r="AN63" s="812">
        <v>1447.8213666736128</v>
      </c>
      <c r="AO63" s="812">
        <v>1484.8927274629687</v>
      </c>
      <c r="AP63" s="701"/>
    </row>
    <row r="64" spans="2:42" x14ac:dyDescent="0.2">
      <c r="AA64" t="s">
        <v>1087</v>
      </c>
      <c r="AD64" s="812">
        <v>775.17552086055559</v>
      </c>
      <c r="AE64" s="812">
        <v>799.08672456508316</v>
      </c>
      <c r="AF64" s="812">
        <v>842.56466176744209</v>
      </c>
      <c r="AG64" s="812">
        <v>902.60903706683894</v>
      </c>
      <c r="AH64" s="812">
        <v>989.81359451399976</v>
      </c>
      <c r="AI64" s="812">
        <v>1063.8343941123196</v>
      </c>
      <c r="AJ64" s="812">
        <v>1152.7639296097516</v>
      </c>
      <c r="AK64" s="812">
        <v>1199.846205186898</v>
      </c>
      <c r="AL64" s="812">
        <v>1254.8893880609912</v>
      </c>
      <c r="AM64" s="812">
        <v>1386.3400986919037</v>
      </c>
      <c r="AN64" s="812">
        <v>1541.7234418740968</v>
      </c>
      <c r="AO64" s="812">
        <v>1578.7596235008721</v>
      </c>
      <c r="AP64" s="701"/>
    </row>
    <row r="65" spans="27:42" x14ac:dyDescent="0.2">
      <c r="AA65" t="s">
        <v>1089</v>
      </c>
      <c r="AD65" s="812">
        <v>853.63807212132099</v>
      </c>
      <c r="AE65" s="812">
        <v>877.64244128080361</v>
      </c>
      <c r="AF65" s="812">
        <v>921.28978519975442</v>
      </c>
      <c r="AG65" s="812">
        <v>981.56811837787268</v>
      </c>
      <c r="AH65" s="812">
        <v>1069.1124578565439</v>
      </c>
      <c r="AI65" s="812">
        <v>1143.4216727880685</v>
      </c>
      <c r="AJ65" s="812">
        <v>1232.6977073110907</v>
      </c>
      <c r="AK65" s="812">
        <v>1279.9634386485538</v>
      </c>
      <c r="AL65" s="812">
        <v>1335.2210878080843</v>
      </c>
      <c r="AM65" s="812">
        <v>1467.1839818262411</v>
      </c>
      <c r="AN65" s="812">
        <v>1623.1727590363919</v>
      </c>
      <c r="AO65" s="812">
        <v>1660.3532482564779</v>
      </c>
      <c r="AP65" s="701"/>
    </row>
    <row r="66" spans="27:42" x14ac:dyDescent="0.2">
      <c r="AA66" t="s">
        <v>1128</v>
      </c>
      <c r="AE66" s="812">
        <v>946.85496513885039</v>
      </c>
      <c r="AF66" s="812">
        <v>990.65078063119461</v>
      </c>
      <c r="AG66" s="812">
        <v>1051.1341580796059</v>
      </c>
      <c r="AH66" s="812">
        <v>1138.9762945872685</v>
      </c>
      <c r="AI66" s="812">
        <v>1213.5382802037229</v>
      </c>
      <c r="AJ66" s="812">
        <v>1303.117999027912</v>
      </c>
      <c r="AK66" s="812">
        <v>1350.5445099511721</v>
      </c>
      <c r="AL66" s="812">
        <v>1405.9901277520523</v>
      </c>
      <c r="AM66" s="812">
        <v>1538.4019128354064</v>
      </c>
      <c r="AN66" s="812">
        <v>1694.9213054671352</v>
      </c>
      <c r="AO66" s="812">
        <v>1732.2282672675831</v>
      </c>
      <c r="AP66" s="701"/>
    </row>
    <row r="67" spans="27:42" x14ac:dyDescent="0.2">
      <c r="AP67" s="701"/>
    </row>
    <row r="68" spans="27:42" x14ac:dyDescent="0.2">
      <c r="AA68" t="s">
        <v>1096</v>
      </c>
      <c r="AB68" s="812">
        <v>360.20826498638797</v>
      </c>
      <c r="AC68" s="812">
        <v>377.34952018807616</v>
      </c>
      <c r="AD68" s="812">
        <v>393.49784536869134</v>
      </c>
      <c r="AE68" s="812">
        <v>417.20162750073399</v>
      </c>
      <c r="AF68" s="812">
        <v>460.30240766207777</v>
      </c>
      <c r="AG68" s="812">
        <v>519.82592254400595</v>
      </c>
      <c r="AH68" s="812">
        <v>606.27401196959727</v>
      </c>
      <c r="AI68" s="812">
        <v>679.65270939145864</v>
      </c>
      <c r="AJ68" s="812">
        <v>767.81081064414684</v>
      </c>
      <c r="AK68" s="812">
        <v>814.48466747842917</v>
      </c>
      <c r="AL68" s="812">
        <v>869.05037016215806</v>
      </c>
      <c r="AM68" s="812">
        <v>999.36079466174738</v>
      </c>
      <c r="AN68" s="812">
        <v>1153.396243736905</v>
      </c>
      <c r="AO68" s="812">
        <v>1190.1111505270001</v>
      </c>
      <c r="AP68" s="701"/>
    </row>
    <row r="69" spans="27:42" x14ac:dyDescent="0.2">
      <c r="AA69" t="s">
        <v>1098</v>
      </c>
      <c r="AC69" s="812">
        <v>476.65658403808158</v>
      </c>
      <c r="AD69" s="812">
        <v>492.70437314879041</v>
      </c>
      <c r="AE69" s="812">
        <v>516.26058135016365</v>
      </c>
      <c r="AF69" s="812">
        <v>559.0930271968308</v>
      </c>
      <c r="AG69" s="812">
        <v>618.24596257594237</v>
      </c>
      <c r="AH69" s="812">
        <v>704.15584641843213</v>
      </c>
      <c r="AI69" s="812">
        <v>777.07770597864067</v>
      </c>
      <c r="AJ69" s="812">
        <v>864.6869565062683</v>
      </c>
      <c r="AK69" s="812">
        <v>911.07023122620194</v>
      </c>
      <c r="AL69" s="812">
        <v>965.2962207077785</v>
      </c>
      <c r="AM69" s="812">
        <v>1094.7953647279946</v>
      </c>
      <c r="AN69" s="812">
        <v>1247.8718288829623</v>
      </c>
      <c r="AO69" s="812">
        <v>1284.3581559138738</v>
      </c>
      <c r="AP69" s="701"/>
    </row>
    <row r="70" spans="27:42" x14ac:dyDescent="0.2">
      <c r="AA70" t="s">
        <v>1100</v>
      </c>
      <c r="AC70" s="812">
        <v>594.43835475728861</v>
      </c>
      <c r="AD70" s="812">
        <v>610.49741051116098</v>
      </c>
      <c r="AE70" s="812">
        <v>634.07015257095122</v>
      </c>
      <c r="AF70" s="812">
        <v>676.93266687639164</v>
      </c>
      <c r="AG70" s="812">
        <v>736.12713005446346</v>
      </c>
      <c r="AH70" s="812">
        <v>822.09732288486146</v>
      </c>
      <c r="AI70" s="812">
        <v>895.07037485196952</v>
      </c>
      <c r="AJ70" s="812">
        <v>982.74112515024706</v>
      </c>
      <c r="AK70" s="812">
        <v>1029.156964132012</v>
      </c>
      <c r="AL70" s="812">
        <v>1083.421022640305</v>
      </c>
      <c r="AM70" s="812">
        <v>1213.0110699890633</v>
      </c>
      <c r="AN70" s="812">
        <v>1366.1949926615716</v>
      </c>
      <c r="AO70" s="812">
        <v>1402.7069382717373</v>
      </c>
      <c r="AP70" s="701"/>
    </row>
    <row r="71" spans="27:42" x14ac:dyDescent="0.2">
      <c r="AA71" t="s">
        <v>1130</v>
      </c>
      <c r="AD71" s="812">
        <v>728.29044787353155</v>
      </c>
      <c r="AE71" s="812">
        <v>751.8797237917388</v>
      </c>
      <c r="AF71" s="812">
        <v>794.77230655595247</v>
      </c>
      <c r="AG71" s="812">
        <v>854.00829753298456</v>
      </c>
      <c r="AH71" s="812">
        <v>940.03879935129078</v>
      </c>
      <c r="AI71" s="812">
        <v>1013.0630437252984</v>
      </c>
      <c r="AJ71" s="812">
        <v>1100.7952937942259</v>
      </c>
      <c r="AK71" s="812">
        <v>1147.2436970378221</v>
      </c>
      <c r="AL71" s="812">
        <v>1201.5458245728314</v>
      </c>
      <c r="AM71" s="812">
        <v>1331.2267752501321</v>
      </c>
      <c r="AN71" s="812">
        <v>1484.518156440181</v>
      </c>
      <c r="AO71" s="812">
        <v>1521.0557206296007</v>
      </c>
    </row>
    <row r="72" spans="27:42" x14ac:dyDescent="0.2">
      <c r="AP72" s="701"/>
    </row>
    <row r="73" spans="27:42" x14ac:dyDescent="0.2">
      <c r="AP73" s="701"/>
    </row>
    <row r="74" spans="27:42" ht="28.5" x14ac:dyDescent="0.45">
      <c r="AA74" s="368" t="s">
        <v>230</v>
      </c>
      <c r="AP74" s="701"/>
    </row>
    <row r="75" spans="27:42" x14ac:dyDescent="0.2">
      <c r="AA75" t="s">
        <v>1085</v>
      </c>
      <c r="AC75" s="812">
        <v>600.03778817209025</v>
      </c>
      <c r="AD75" s="812">
        <v>616.34289230288073</v>
      </c>
      <c r="AE75" s="812">
        <v>640.27680743619294</v>
      </c>
      <c r="AF75" s="812">
        <v>683.796040693794</v>
      </c>
      <c r="AG75" s="812">
        <v>743.8974500271695</v>
      </c>
      <c r="AH75" s="812">
        <v>831.18483841272882</v>
      </c>
      <c r="AI75" s="812">
        <v>905.27594713155224</v>
      </c>
      <c r="AJ75" s="812">
        <v>994.28994839645861</v>
      </c>
      <c r="AK75" s="812">
        <v>1041.4169482978436</v>
      </c>
      <c r="AL75" s="812">
        <v>1096.5124122274469</v>
      </c>
      <c r="AM75" s="812">
        <v>1228.0879815845185</v>
      </c>
      <c r="AN75" s="812">
        <v>1383.6189151541621</v>
      </c>
      <c r="AO75" s="812">
        <v>1420.6902741381164</v>
      </c>
      <c r="AP75" s="701"/>
    </row>
    <row r="76" spans="27:42" x14ac:dyDescent="0.2">
      <c r="AA76" t="s">
        <v>1087</v>
      </c>
      <c r="AD76" s="812">
        <v>711.03399438440715</v>
      </c>
      <c r="AE76" s="812">
        <v>734.94519648733728</v>
      </c>
      <c r="AF76" s="812">
        <v>778.42313186138858</v>
      </c>
      <c r="AG76" s="812">
        <v>838.46751017383622</v>
      </c>
      <c r="AH76" s="812">
        <v>925.67206901051077</v>
      </c>
      <c r="AI76" s="812">
        <v>999.69286915000953</v>
      </c>
      <c r="AJ76" s="812">
        <v>1088.622399089387</v>
      </c>
      <c r="AK76" s="812">
        <v>1135.7046800198177</v>
      </c>
      <c r="AL76" s="812">
        <v>1190.7478585644783</v>
      </c>
      <c r="AM76" s="812">
        <v>1322.1985737588466</v>
      </c>
      <c r="AN76" s="812">
        <v>1477.5819176431105</v>
      </c>
      <c r="AO76" s="812">
        <v>1514.6180947649354</v>
      </c>
      <c r="AP76" s="701"/>
    </row>
    <row r="77" spans="27:42" x14ac:dyDescent="0.2">
      <c r="AA77" t="s">
        <v>1089</v>
      </c>
      <c r="AD77" s="812">
        <v>789.24662424875169</v>
      </c>
      <c r="AE77" s="812">
        <v>813.25099457382316</v>
      </c>
      <c r="AF77" s="812">
        <v>856.89833677366346</v>
      </c>
      <c r="AG77" s="812">
        <v>917.17666962179771</v>
      </c>
      <c r="AH77" s="812">
        <v>1004.7210083979222</v>
      </c>
      <c r="AI77" s="812">
        <v>1079.0302226481892</v>
      </c>
      <c r="AJ77" s="812">
        <v>1168.3062606413662</v>
      </c>
      <c r="AK77" s="812">
        <v>1215.5719884235177</v>
      </c>
      <c r="AL77" s="812">
        <v>1270.829640031317</v>
      </c>
      <c r="AM77" s="812">
        <v>1402.7925336662663</v>
      </c>
      <c r="AN77" s="812">
        <v>1558.7813103228955</v>
      </c>
      <c r="AO77" s="812">
        <v>1595.96179898946</v>
      </c>
      <c r="AP77" s="701"/>
    </row>
    <row r="78" spans="27:42" x14ac:dyDescent="0.2">
      <c r="AA78" t="s">
        <v>1128</v>
      </c>
      <c r="AE78" s="812">
        <v>882.24448165802869</v>
      </c>
      <c r="AF78" s="812">
        <v>926.04029624562963</v>
      </c>
      <c r="AG78" s="812">
        <v>986.52367448204302</v>
      </c>
      <c r="AH78" s="812">
        <v>1074.3658081587348</v>
      </c>
      <c r="AI78" s="812">
        <v>1148.9277951760821</v>
      </c>
      <c r="AJ78" s="812">
        <v>1238.5075163350921</v>
      </c>
      <c r="AK78" s="812">
        <v>1285.9340245149378</v>
      </c>
      <c r="AL78" s="812">
        <v>1341.3796456429379</v>
      </c>
      <c r="AM78" s="812">
        <v>1473.7914279245067</v>
      </c>
      <c r="AN78" s="812">
        <v>1630.3108198557891</v>
      </c>
      <c r="AO78" s="812">
        <v>1667.6177832906119</v>
      </c>
      <c r="AP78" s="701"/>
    </row>
    <row r="79" spans="27:42" x14ac:dyDescent="0.2">
      <c r="AP79" s="701"/>
    </row>
    <row r="80" spans="27:42" x14ac:dyDescent="0.2">
      <c r="AA80" t="s">
        <v>1096</v>
      </c>
      <c r="AB80" s="812">
        <v>296.62314157242787</v>
      </c>
      <c r="AC80" s="812">
        <v>313.76439699866313</v>
      </c>
      <c r="AD80" s="812">
        <v>329.91272142758856</v>
      </c>
      <c r="AE80" s="812">
        <v>353.61650415831053</v>
      </c>
      <c r="AF80" s="812">
        <v>396.71728467431922</v>
      </c>
      <c r="AG80" s="812">
        <v>456.2407982634503</v>
      </c>
      <c r="AH80" s="812">
        <v>542.68888900934485</v>
      </c>
      <c r="AI80" s="812">
        <v>616.06758603444848</v>
      </c>
      <c r="AJ80" s="812">
        <v>704.2256857467828</v>
      </c>
      <c r="AK80" s="812">
        <v>750.89954454151552</v>
      </c>
      <c r="AL80" s="812">
        <v>805.4652463850515</v>
      </c>
      <c r="AM80" s="812">
        <v>935.7756716848246</v>
      </c>
      <c r="AN80" s="812">
        <v>1089.811121780217</v>
      </c>
      <c r="AO80" s="812">
        <v>1126.5260261830963</v>
      </c>
      <c r="AP80" s="701"/>
    </row>
    <row r="81" spans="27:42" x14ac:dyDescent="0.2">
      <c r="AA81" t="s">
        <v>1098</v>
      </c>
      <c r="AC81" s="812">
        <v>413.4673266053685</v>
      </c>
      <c r="AD81" s="812">
        <v>429.51511493479887</v>
      </c>
      <c r="AE81" s="812">
        <v>453.07132291996936</v>
      </c>
      <c r="AF81" s="812">
        <v>495.90376941524494</v>
      </c>
      <c r="AG81" s="812">
        <v>555.05670422436719</v>
      </c>
      <c r="AH81" s="812">
        <v>640.9665878309994</v>
      </c>
      <c r="AI81" s="812">
        <v>713.88844668363481</v>
      </c>
      <c r="AJ81" s="812">
        <v>801.49769685747617</v>
      </c>
      <c r="AK81" s="812">
        <v>847.88097425046328</v>
      </c>
      <c r="AL81" s="812">
        <v>902.10696160932071</v>
      </c>
      <c r="AM81" s="812">
        <v>1031.6061079094941</v>
      </c>
      <c r="AN81" s="812">
        <v>1184.682569627266</v>
      </c>
      <c r="AO81" s="812">
        <v>1221.1688983878009</v>
      </c>
      <c r="AP81" s="701"/>
    </row>
    <row r="82" spans="27:42" x14ac:dyDescent="0.2">
      <c r="AA82" t="s">
        <v>1100</v>
      </c>
      <c r="AC82" s="812">
        <v>531.20474010355053</v>
      </c>
      <c r="AD82" s="812">
        <v>547.26379216014402</v>
      </c>
      <c r="AE82" s="812">
        <v>570.83653891905635</v>
      </c>
      <c r="AF82" s="812">
        <v>613.69905184099912</v>
      </c>
      <c r="AG82" s="812">
        <v>672.89351201354111</v>
      </c>
      <c r="AH82" s="812">
        <v>758.86370627514361</v>
      </c>
      <c r="AI82" s="812">
        <v>831.83675576149687</v>
      </c>
      <c r="AJ82" s="812">
        <v>919.50751054421596</v>
      </c>
      <c r="AK82" s="812">
        <v>965.92334485071217</v>
      </c>
      <c r="AL82" s="812">
        <v>1020.1874032635917</v>
      </c>
      <c r="AM82" s="812">
        <v>1149.77745662341</v>
      </c>
      <c r="AN82" s="812">
        <v>1302.9613806317088</v>
      </c>
      <c r="AO82" s="812">
        <v>1339.4733178454735</v>
      </c>
      <c r="AP82" s="701"/>
    </row>
    <row r="83" spans="27:42" x14ac:dyDescent="0.2">
      <c r="AA83" t="s">
        <v>1130</v>
      </c>
      <c r="AD83" s="812">
        <v>665.01246938548911</v>
      </c>
      <c r="AE83" s="812">
        <v>688.60175491814334</v>
      </c>
      <c r="AF83" s="812">
        <v>731.4943342667533</v>
      </c>
      <c r="AG83" s="812">
        <v>790.73031980271503</v>
      </c>
      <c r="AH83" s="812">
        <v>876.76082471928783</v>
      </c>
      <c r="AI83" s="812">
        <v>949.78506483935894</v>
      </c>
      <c r="AJ83" s="812">
        <v>1037.5173242309556</v>
      </c>
      <c r="AK83" s="812">
        <v>1083.9657154509609</v>
      </c>
      <c r="AL83" s="812">
        <v>1138.2678449178627</v>
      </c>
      <c r="AM83" s="812">
        <v>1267.9488053373259</v>
      </c>
      <c r="AN83" s="812">
        <v>1421.2401916361516</v>
      </c>
      <c r="AO83" s="812">
        <v>1457.7777373031461</v>
      </c>
      <c r="AP83" s="701"/>
    </row>
    <row r="84" spans="27:42" x14ac:dyDescent="0.2">
      <c r="AP84" s="701"/>
    </row>
    <row r="85" spans="27:42" x14ac:dyDescent="0.2">
      <c r="AP85" s="701"/>
    </row>
    <row r="86" spans="27:42" ht="28.5" x14ac:dyDescent="0.45">
      <c r="AA86" s="368" t="s">
        <v>237</v>
      </c>
      <c r="AP86" s="701"/>
    </row>
    <row r="87" spans="27:42" x14ac:dyDescent="0.2">
      <c r="AA87" t="s">
        <v>1085</v>
      </c>
      <c r="AC87" s="812">
        <v>666.44378721898829</v>
      </c>
      <c r="AD87" s="812">
        <v>682.74889105014927</v>
      </c>
      <c r="AE87" s="812">
        <v>706.68280581750162</v>
      </c>
      <c r="AF87" s="812">
        <v>750.20203857648255</v>
      </c>
      <c r="AG87" s="812">
        <v>810.30344877596292</v>
      </c>
      <c r="AH87" s="812">
        <v>897.59083710052892</v>
      </c>
      <c r="AI87" s="812">
        <v>971.68194553573358</v>
      </c>
      <c r="AJ87" s="812">
        <v>1060.6959472153944</v>
      </c>
      <c r="AK87" s="812">
        <v>1107.8229463238663</v>
      </c>
      <c r="AL87" s="812">
        <v>1162.9184115099317</v>
      </c>
      <c r="AM87" s="812">
        <v>1294.4939795800444</v>
      </c>
      <c r="AN87" s="812">
        <v>1450.0249130642978</v>
      </c>
      <c r="AO87" s="812">
        <v>1487.0962743172024</v>
      </c>
      <c r="AP87" s="701"/>
    </row>
    <row r="88" spans="27:42" x14ac:dyDescent="0.2">
      <c r="AA88" t="s">
        <v>1087</v>
      </c>
      <c r="AD88" s="812">
        <v>777.37697598235809</v>
      </c>
      <c r="AE88" s="812">
        <v>801.28818028657054</v>
      </c>
      <c r="AF88" s="812">
        <v>844.76611604090976</v>
      </c>
      <c r="AG88" s="812">
        <v>904.81049193999138</v>
      </c>
      <c r="AH88" s="812">
        <v>992.01505159574788</v>
      </c>
      <c r="AI88" s="812">
        <v>1066.0358495997834</v>
      </c>
      <c r="AJ88" s="812">
        <v>1154.9653836345697</v>
      </c>
      <c r="AK88" s="812">
        <v>1202.0476591239571</v>
      </c>
      <c r="AL88" s="812">
        <v>1257.0908419102914</v>
      </c>
      <c r="AM88" s="812">
        <v>1388.5415530385035</v>
      </c>
      <c r="AN88" s="812">
        <v>1543.9248961621911</v>
      </c>
      <c r="AO88" s="812">
        <v>1580.9610786080477</v>
      </c>
      <c r="AP88" s="701"/>
    </row>
    <row r="89" spans="27:42" x14ac:dyDescent="0.2">
      <c r="AA89" t="s">
        <v>1089</v>
      </c>
      <c r="AD89" s="812">
        <v>855.84810585407286</v>
      </c>
      <c r="AE89" s="812">
        <v>879.85247590770587</v>
      </c>
      <c r="AF89" s="812">
        <v>923.49981700050307</v>
      </c>
      <c r="AG89" s="812">
        <v>983.77815171145028</v>
      </c>
      <c r="AH89" s="812">
        <v>1071.3224897956727</v>
      </c>
      <c r="AI89" s="812">
        <v>1145.6317050252474</v>
      </c>
      <c r="AJ89" s="812">
        <v>1234.9077396121377</v>
      </c>
      <c r="AK89" s="812">
        <v>1282.1734691825898</v>
      </c>
      <c r="AL89" s="812">
        <v>1337.431122344507</v>
      </c>
      <c r="AM89" s="812">
        <v>1469.394013999552</v>
      </c>
      <c r="AN89" s="812">
        <v>1625.3827918483819</v>
      </c>
      <c r="AO89" s="812">
        <v>1662.563281451675</v>
      </c>
      <c r="AP89" s="701"/>
    </row>
    <row r="90" spans="27:42" x14ac:dyDescent="0.2">
      <c r="AA90" t="s">
        <v>1128</v>
      </c>
      <c r="AE90" s="812">
        <v>949.07251808351612</v>
      </c>
      <c r="AF90" s="812">
        <v>992.86833124103896</v>
      </c>
      <c r="AG90" s="812">
        <v>1053.351708455968</v>
      </c>
      <c r="AH90" s="812">
        <v>1141.1938440005172</v>
      </c>
      <c r="AI90" s="812">
        <v>1215.7558308427529</v>
      </c>
      <c r="AJ90" s="812">
        <v>1305.3355488497541</v>
      </c>
      <c r="AK90" s="812">
        <v>1352.7620613490187</v>
      </c>
      <c r="AL90" s="812">
        <v>1408.2076795584924</v>
      </c>
      <c r="AM90" s="812">
        <v>1540.6194635911772</v>
      </c>
      <c r="AN90" s="812">
        <v>1697.1388593749152</v>
      </c>
      <c r="AO90" s="812">
        <v>1734.4458167392022</v>
      </c>
      <c r="AP90" s="701"/>
    </row>
    <row r="91" spans="27:42" x14ac:dyDescent="0.2">
      <c r="AP91" s="701"/>
    </row>
    <row r="92" spans="27:42" x14ac:dyDescent="0.2">
      <c r="AA92" t="s">
        <v>1096</v>
      </c>
      <c r="AB92" s="812">
        <v>362.39062370183848</v>
      </c>
      <c r="AC92" s="812">
        <v>379.53187881489634</v>
      </c>
      <c r="AD92" s="812">
        <v>395.68020395448639</v>
      </c>
      <c r="AE92" s="812">
        <v>419.38398558328845</v>
      </c>
      <c r="AF92" s="812">
        <v>462.48476620640503</v>
      </c>
      <c r="AG92" s="812">
        <v>522.00828079659948</v>
      </c>
      <c r="AH92" s="812">
        <v>608.45637098736643</v>
      </c>
      <c r="AI92" s="812">
        <v>681.83506721562037</v>
      </c>
      <c r="AJ92" s="812">
        <v>769.99316838162213</v>
      </c>
      <c r="AK92" s="812">
        <v>816.66702629615247</v>
      </c>
      <c r="AL92" s="812">
        <v>871.2327287798355</v>
      </c>
      <c r="AM92" s="812">
        <v>1001.5431535394843</v>
      </c>
      <c r="AN92" s="812">
        <v>1155.5786033614806</v>
      </c>
      <c r="AO92" s="812">
        <v>1192.2935080577608</v>
      </c>
      <c r="AP92" s="701"/>
    </row>
    <row r="93" spans="27:42" x14ac:dyDescent="0.2">
      <c r="AA93" t="s">
        <v>1098</v>
      </c>
      <c r="AC93" s="812">
        <v>478.82535605766657</v>
      </c>
      <c r="AD93" s="812">
        <v>494.87314521751244</v>
      </c>
      <c r="AE93" s="812">
        <v>518.42935334026652</v>
      </c>
      <c r="AF93" s="812">
        <v>561.26179877418269</v>
      </c>
      <c r="AG93" s="812">
        <v>620.41473356365009</v>
      </c>
      <c r="AH93" s="812">
        <v>706.32461760268791</v>
      </c>
      <c r="AI93" s="812">
        <v>779.24647696634838</v>
      </c>
      <c r="AJ93" s="812">
        <v>866.85572678640324</v>
      </c>
      <c r="AK93" s="812">
        <v>913.23900111324065</v>
      </c>
      <c r="AL93" s="812">
        <v>967.46499373958579</v>
      </c>
      <c r="AM93" s="812">
        <v>1096.9641359515601</v>
      </c>
      <c r="AN93" s="812">
        <v>1250.0406001065278</v>
      </c>
      <c r="AO93" s="812">
        <v>1286.5269252505782</v>
      </c>
      <c r="AP93" s="701"/>
    </row>
    <row r="94" spans="27:42" x14ac:dyDescent="0.2">
      <c r="AA94" t="s">
        <v>1100</v>
      </c>
      <c r="AC94" s="812">
        <v>596.60864880112558</v>
      </c>
      <c r="AD94" s="812">
        <v>612.66770610546962</v>
      </c>
      <c r="AE94" s="812">
        <v>636.24044990655887</v>
      </c>
      <c r="AF94" s="812">
        <v>679.10296161197755</v>
      </c>
      <c r="AG94" s="812">
        <v>738.29742493316974</v>
      </c>
      <c r="AH94" s="812">
        <v>824.26761690484466</v>
      </c>
      <c r="AI94" s="812">
        <v>897.24066729762774</v>
      </c>
      <c r="AJ94" s="812">
        <v>984.91141711883733</v>
      </c>
      <c r="AK94" s="812">
        <v>1031.3272582951161</v>
      </c>
      <c r="AL94" s="812">
        <v>1085.5913157538591</v>
      </c>
      <c r="AM94" s="812">
        <v>1215.1813659650268</v>
      </c>
      <c r="AN94" s="812">
        <v>1368.3652914999443</v>
      </c>
      <c r="AO94" s="812">
        <v>1404.8772334843914</v>
      </c>
      <c r="AP94" s="701"/>
    </row>
    <row r="95" spans="27:42" x14ac:dyDescent="0.2">
      <c r="AA95" t="s">
        <v>1130</v>
      </c>
      <c r="AD95" s="812">
        <v>730.46226699342674</v>
      </c>
      <c r="AE95" s="812">
        <v>754.05154647285121</v>
      </c>
      <c r="AF95" s="812">
        <v>796.9441244497724</v>
      </c>
      <c r="AG95" s="812">
        <v>856.18011630268938</v>
      </c>
      <c r="AH95" s="812">
        <v>942.21061620700141</v>
      </c>
      <c r="AI95" s="812">
        <v>1015.2348576289071</v>
      </c>
      <c r="AJ95" s="812">
        <v>1102.9671074512714</v>
      </c>
      <c r="AK95" s="812">
        <v>1149.4155154769915</v>
      </c>
      <c r="AL95" s="812">
        <v>1203.7176377681326</v>
      </c>
      <c r="AM95" s="812">
        <v>1333.3985959784934</v>
      </c>
      <c r="AN95" s="812">
        <v>1486.6899828933608</v>
      </c>
      <c r="AO95" s="812">
        <v>1523.2275417182045</v>
      </c>
      <c r="AP95" s="701"/>
    </row>
    <row r="96" spans="27:42" x14ac:dyDescent="0.2">
      <c r="AP96" s="701"/>
    </row>
    <row r="98" spans="27:42" ht="28.5" x14ac:dyDescent="0.45">
      <c r="AA98" s="368" t="s">
        <v>233</v>
      </c>
    </row>
    <row r="99" spans="27:42" x14ac:dyDescent="0.2">
      <c r="AA99" t="s">
        <v>1085</v>
      </c>
      <c r="AC99" s="812">
        <v>644.55408539419193</v>
      </c>
      <c r="AD99" s="812">
        <v>660.85918883575812</v>
      </c>
      <c r="AE99" s="812">
        <v>684.79310448141393</v>
      </c>
      <c r="AF99" s="812">
        <v>728.31233739135325</v>
      </c>
      <c r="AG99" s="812">
        <v>788.41374709983768</v>
      </c>
      <c r="AH99" s="812">
        <v>875.70113527192029</v>
      </c>
      <c r="AI99" s="812">
        <v>949.79224405783657</v>
      </c>
      <c r="AJ99" s="812">
        <v>1038.8062453898356</v>
      </c>
      <c r="AK99" s="812">
        <v>1085.9332449252606</v>
      </c>
      <c r="AL99" s="812">
        <v>1141.0287095501876</v>
      </c>
      <c r="AM99" s="812">
        <v>1272.6042783156238</v>
      </c>
      <c r="AN99" s="812">
        <v>1428.1352116900894</v>
      </c>
      <c r="AO99" s="812">
        <v>1465.2065713083739</v>
      </c>
      <c r="AP99" s="701"/>
    </row>
    <row r="100" spans="27:42" x14ac:dyDescent="0.2">
      <c r="AA100" t="s">
        <v>1087</v>
      </c>
      <c r="AD100" s="812">
        <v>755.50804856055095</v>
      </c>
      <c r="AE100" s="812">
        <v>779.41924943485833</v>
      </c>
      <c r="AF100" s="812">
        <v>822.89718527695629</v>
      </c>
      <c r="AG100" s="812">
        <v>882.94156449624461</v>
      </c>
      <c r="AH100" s="812">
        <v>970.1461219872848</v>
      </c>
      <c r="AI100" s="812">
        <v>1044.1669226387096</v>
      </c>
      <c r="AJ100" s="812">
        <v>1133.096451817511</v>
      </c>
      <c r="AK100" s="812">
        <v>1180.1787347371403</v>
      </c>
      <c r="AL100" s="812">
        <v>1235.2219133695598</v>
      </c>
      <c r="AM100" s="812">
        <v>1366.6726281543872</v>
      </c>
      <c r="AN100" s="812">
        <v>1522.0559715120983</v>
      </c>
      <c r="AO100" s="812">
        <v>1559.0921483413945</v>
      </c>
      <c r="AP100" s="701"/>
    </row>
    <row r="101" spans="27:42" x14ac:dyDescent="0.2">
      <c r="AA101" t="s">
        <v>1089</v>
      </c>
      <c r="AD101" s="812">
        <v>833.89396454367079</v>
      </c>
      <c r="AE101" s="812">
        <v>857.89833628448014</v>
      </c>
      <c r="AF101" s="812">
        <v>901.5456789473626</v>
      </c>
      <c r="AG101" s="812">
        <v>961.82401001784103</v>
      </c>
      <c r="AH101" s="812">
        <v>1049.3683509761179</v>
      </c>
      <c r="AI101" s="812">
        <v>1123.6775649389795</v>
      </c>
      <c r="AJ101" s="812">
        <v>1212.9536019315599</v>
      </c>
      <c r="AK101" s="812">
        <v>1260.2193292879256</v>
      </c>
      <c r="AL101" s="812">
        <v>1315.4769808744352</v>
      </c>
      <c r="AM101" s="812">
        <v>1447.4398745093847</v>
      </c>
      <c r="AN101" s="812">
        <v>1603.4286515917997</v>
      </c>
      <c r="AO101" s="812">
        <v>1640.6091401732067</v>
      </c>
      <c r="AP101" s="701"/>
    </row>
    <row r="102" spans="27:42" x14ac:dyDescent="0.2">
      <c r="AA102" t="s">
        <v>1128</v>
      </c>
      <c r="AE102" s="812">
        <v>927.04369664094725</v>
      </c>
      <c r="AF102" s="812">
        <v>970.8395124835148</v>
      </c>
      <c r="AG102" s="812">
        <v>1031.3228894357765</v>
      </c>
      <c r="AH102" s="812">
        <v>1119.1650236961736</v>
      </c>
      <c r="AI102" s="812">
        <v>1193.7270105384093</v>
      </c>
      <c r="AJ102" s="812">
        <v>1283.3067310553438</v>
      </c>
      <c r="AK102" s="812">
        <v>1330.7332395270416</v>
      </c>
      <c r="AL102" s="812">
        <v>1386.1788598378544</v>
      </c>
      <c r="AM102" s="812">
        <v>1518.590643520316</v>
      </c>
      <c r="AN102" s="812">
        <v>1675.1100368524912</v>
      </c>
      <c r="AO102" s="812">
        <v>1712.4170009877607</v>
      </c>
      <c r="AP102" s="701"/>
    </row>
    <row r="103" spans="27:42" x14ac:dyDescent="0.2">
      <c r="AP103" s="701"/>
    </row>
    <row r="104" spans="27:42" x14ac:dyDescent="0.2">
      <c r="AA104" t="s">
        <v>1096</v>
      </c>
      <c r="AB104" s="812">
        <v>340.71139897374519</v>
      </c>
      <c r="AC104" s="812">
        <v>357.85265373618205</v>
      </c>
      <c r="AD104" s="812">
        <v>374.00097903106825</v>
      </c>
      <c r="AE104" s="812">
        <v>397.70476160362881</v>
      </c>
      <c r="AF104" s="812">
        <v>440.80554199085782</v>
      </c>
      <c r="AG104" s="812">
        <v>500.32905599758499</v>
      </c>
      <c r="AH104" s="812">
        <v>586.77714594996382</v>
      </c>
      <c r="AI104" s="812">
        <v>660.15584357853959</v>
      </c>
      <c r="AJ104" s="812">
        <v>748.31394342423778</v>
      </c>
      <c r="AK104" s="812">
        <v>794.98780172552381</v>
      </c>
      <c r="AL104" s="812">
        <v>849.55350456928954</v>
      </c>
      <c r="AM104" s="812">
        <v>979.86392926892472</v>
      </c>
      <c r="AN104" s="812">
        <v>1133.8993790842528</v>
      </c>
      <c r="AO104" s="812">
        <v>1170.6142847140807</v>
      </c>
      <c r="AP104" s="701"/>
    </row>
    <row r="105" spans="27:42" x14ac:dyDescent="0.2">
      <c r="AA105" t="s">
        <v>1098</v>
      </c>
      <c r="AC105" s="812">
        <v>457.28110046831677</v>
      </c>
      <c r="AD105" s="812">
        <v>473.32889011953279</v>
      </c>
      <c r="AE105" s="812">
        <v>496.88509869434756</v>
      </c>
      <c r="AF105" s="812">
        <v>539.71754373516751</v>
      </c>
      <c r="AG105" s="812">
        <v>598.87047911427908</v>
      </c>
      <c r="AH105" s="812">
        <v>684.78036252436311</v>
      </c>
      <c r="AI105" s="812">
        <v>757.70222184871409</v>
      </c>
      <c r="AJ105" s="812">
        <v>845.31147072533815</v>
      </c>
      <c r="AK105" s="812">
        <v>891.69475110585552</v>
      </c>
      <c r="AL105" s="812">
        <v>945.92073634199403</v>
      </c>
      <c r="AM105" s="812">
        <v>1075.4198837428369</v>
      </c>
      <c r="AN105" s="812">
        <v>1228.4963459323239</v>
      </c>
      <c r="AO105" s="812">
        <v>1264.9826707618975</v>
      </c>
      <c r="AP105" s="701"/>
    </row>
    <row r="106" spans="27:42" x14ac:dyDescent="0.2">
      <c r="AA106" t="s">
        <v>1100</v>
      </c>
      <c r="AC106" s="812">
        <v>575.04926995352946</v>
      </c>
      <c r="AD106" s="812">
        <v>591.10832336976739</v>
      </c>
      <c r="AE106" s="812">
        <v>614.68107155988434</v>
      </c>
      <c r="AF106" s="812">
        <v>657.54358469650776</v>
      </c>
      <c r="AG106" s="812">
        <v>716.7380444873952</v>
      </c>
      <c r="AH106" s="812">
        <v>802.70823746091344</v>
      </c>
      <c r="AI106" s="812">
        <v>875.68128732892126</v>
      </c>
      <c r="AJ106" s="812">
        <v>963.35204249329502</v>
      </c>
      <c r="AK106" s="812">
        <v>1009.7678786126507</v>
      </c>
      <c r="AL106" s="812">
        <v>1064.03193807508</v>
      </c>
      <c r="AM106" s="812">
        <v>1193.6219873321115</v>
      </c>
      <c r="AN106" s="812">
        <v>1346.8059119128927</v>
      </c>
      <c r="AO106" s="812">
        <v>1383.3178523707213</v>
      </c>
      <c r="AP106" s="701"/>
    </row>
    <row r="107" spans="27:42" x14ac:dyDescent="0.2">
      <c r="AA107" t="s">
        <v>1130</v>
      </c>
      <c r="AD107" s="812">
        <v>708.88775662000194</v>
      </c>
      <c r="AE107" s="812">
        <v>732.47704442542113</v>
      </c>
      <c r="AF107" s="812">
        <v>775.36962565784802</v>
      </c>
      <c r="AG107" s="812">
        <v>834.60560986051132</v>
      </c>
      <c r="AH107" s="812">
        <v>920.63611239746376</v>
      </c>
      <c r="AI107" s="812">
        <v>993.66035280912843</v>
      </c>
      <c r="AJ107" s="812">
        <v>1081.3926142612518</v>
      </c>
      <c r="AK107" s="812">
        <v>1127.8410061194459</v>
      </c>
      <c r="AL107" s="812">
        <v>1182.1431398081659</v>
      </c>
      <c r="AM107" s="812">
        <v>1311.8240909213862</v>
      </c>
      <c r="AN107" s="812">
        <v>1465.1154778934615</v>
      </c>
      <c r="AO107" s="812">
        <v>1501.6530339795452</v>
      </c>
      <c r="AP107" s="701"/>
    </row>
    <row r="108" spans="27:42" x14ac:dyDescent="0.2">
      <c r="AP108" s="701"/>
    </row>
    <row r="109" spans="27:42" x14ac:dyDescent="0.2">
      <c r="AP109" s="701"/>
    </row>
    <row r="110" spans="27:42" ht="28.5" x14ac:dyDescent="0.45">
      <c r="AA110" s="368" t="s">
        <v>240</v>
      </c>
      <c r="AP110" s="701"/>
    </row>
    <row r="111" spans="27:42" x14ac:dyDescent="0.2">
      <c r="AA111" t="s">
        <v>1085</v>
      </c>
      <c r="AC111" s="812">
        <v>593.99119662754629</v>
      </c>
      <c r="AD111" s="812">
        <v>610.29630065541073</v>
      </c>
      <c r="AE111" s="812">
        <v>634.23021581159526</v>
      </c>
      <c r="AF111" s="812">
        <v>677.74944841809292</v>
      </c>
      <c r="AG111" s="812">
        <v>737.85085854743113</v>
      </c>
      <c r="AH111" s="812">
        <v>825.13824703667888</v>
      </c>
      <c r="AI111" s="812">
        <v>899.22935631054156</v>
      </c>
      <c r="AJ111" s="812">
        <v>988.24335629458847</v>
      </c>
      <c r="AK111" s="812">
        <v>1035.3703568059066</v>
      </c>
      <c r="AL111" s="812">
        <v>1090.4658215101249</v>
      </c>
      <c r="AM111" s="812">
        <v>1222.0413903365545</v>
      </c>
      <c r="AN111" s="812">
        <v>1377.5723236134304</v>
      </c>
      <c r="AO111" s="812">
        <v>1414.643682841358</v>
      </c>
      <c r="AP111" s="701"/>
    </row>
    <row r="112" spans="27:42" x14ac:dyDescent="0.2">
      <c r="AA112" t="s">
        <v>1087</v>
      </c>
      <c r="AD112" s="812">
        <v>704.99313993593375</v>
      </c>
      <c r="AE112" s="812">
        <v>728.90434324554678</v>
      </c>
      <c r="AF112" s="812">
        <v>772.38228071849517</v>
      </c>
      <c r="AG112" s="812">
        <v>832.42665546208661</v>
      </c>
      <c r="AH112" s="812">
        <v>919.63121347967933</v>
      </c>
      <c r="AI112" s="812">
        <v>993.65201337052838</v>
      </c>
      <c r="AJ112" s="812">
        <v>1082.5815451235867</v>
      </c>
      <c r="AK112" s="812">
        <v>1129.6638232457371</v>
      </c>
      <c r="AL112" s="812">
        <v>1184.7070073777058</v>
      </c>
      <c r="AM112" s="812">
        <v>1316.15771692626</v>
      </c>
      <c r="AN112" s="812">
        <v>1471.5410598159247</v>
      </c>
      <c r="AO112" s="812">
        <v>1508.5772419107464</v>
      </c>
      <c r="AP112" s="701"/>
    </row>
    <row r="113" spans="27:42" x14ac:dyDescent="0.2">
      <c r="AA113" t="s">
        <v>1089</v>
      </c>
      <c r="AD113" s="812">
        <v>783.18223350461665</v>
      </c>
      <c r="AE113" s="812">
        <v>807.18660253636369</v>
      </c>
      <c r="AF113" s="812">
        <v>850.83394506086574</v>
      </c>
      <c r="AG113" s="812">
        <v>911.11227971858978</v>
      </c>
      <c r="AH113" s="812">
        <v>998.65661963369155</v>
      </c>
      <c r="AI113" s="812">
        <v>1072.9658334794619</v>
      </c>
      <c r="AJ113" s="812">
        <v>1162.2418672786484</v>
      </c>
      <c r="AK113" s="812">
        <v>1209.5075973174651</v>
      </c>
      <c r="AL113" s="812">
        <v>1264.7652483717422</v>
      </c>
      <c r="AM113" s="812">
        <v>1396.7281429008419</v>
      </c>
      <c r="AN113" s="812">
        <v>1552.7169181949566</v>
      </c>
      <c r="AO113" s="812">
        <v>1589.8974075427782</v>
      </c>
      <c r="AP113" s="701"/>
    </row>
    <row r="114" spans="27:42" x14ac:dyDescent="0.2">
      <c r="AA114" t="s">
        <v>1128</v>
      </c>
      <c r="AE114" s="812">
        <v>876.15946126627546</v>
      </c>
      <c r="AF114" s="812">
        <v>919.95527658350795</v>
      </c>
      <c r="AG114" s="812">
        <v>980.43865636674036</v>
      </c>
      <c r="AH114" s="812">
        <v>1068.2807877377963</v>
      </c>
      <c r="AI114" s="812">
        <v>1142.8427759809247</v>
      </c>
      <c r="AJ114" s="812">
        <v>1232.4224959141538</v>
      </c>
      <c r="AK114" s="812">
        <v>1279.849006487191</v>
      </c>
      <c r="AL114" s="812">
        <v>1335.2946256305934</v>
      </c>
      <c r="AM114" s="812">
        <v>1467.7064064528986</v>
      </c>
      <c r="AN114" s="812">
        <v>1624.2258000185561</v>
      </c>
      <c r="AO114" s="812">
        <v>1661.5327614687806</v>
      </c>
      <c r="AP114" s="701"/>
    </row>
    <row r="115" spans="27:42" x14ac:dyDescent="0.2">
      <c r="AP115" s="701"/>
    </row>
    <row r="116" spans="27:42" x14ac:dyDescent="0.2">
      <c r="AA116" t="s">
        <v>1096</v>
      </c>
      <c r="AB116" s="812">
        <v>290.63468984735226</v>
      </c>
      <c r="AC116" s="812">
        <v>307.775945223843</v>
      </c>
      <c r="AD116" s="812">
        <v>323.92426972643767</v>
      </c>
      <c r="AE116" s="812">
        <v>347.62805224419395</v>
      </c>
      <c r="AF116" s="812">
        <v>390.72883289315001</v>
      </c>
      <c r="AG116" s="812">
        <v>450.25234673900673</v>
      </c>
      <c r="AH116" s="812">
        <v>536.70043704146599</v>
      </c>
      <c r="AI116" s="812">
        <v>610.07913431329303</v>
      </c>
      <c r="AJ116" s="812">
        <v>698.23723443905556</v>
      </c>
      <c r="AK116" s="812">
        <v>744.91109306708336</v>
      </c>
      <c r="AL116" s="812">
        <v>799.47679469056868</v>
      </c>
      <c r="AM116" s="812">
        <v>929.78721875005692</v>
      </c>
      <c r="AN116" s="812">
        <v>1083.8226685587165</v>
      </c>
      <c r="AO116" s="812">
        <v>1120.5375759156082</v>
      </c>
      <c r="AP116" s="701"/>
    </row>
    <row r="117" spans="27:42" x14ac:dyDescent="0.2">
      <c r="AA117" t="s">
        <v>1098</v>
      </c>
      <c r="AC117" s="812">
        <v>407.51615716115271</v>
      </c>
      <c r="AD117" s="812">
        <v>423.56394596721208</v>
      </c>
      <c r="AE117" s="812">
        <v>447.12015358876869</v>
      </c>
      <c r="AF117" s="812">
        <v>489.95259980887704</v>
      </c>
      <c r="AG117" s="812">
        <v>549.10553438214163</v>
      </c>
      <c r="AH117" s="812">
        <v>635.01541869634673</v>
      </c>
      <c r="AI117" s="812">
        <v>707.93727876758021</v>
      </c>
      <c r="AJ117" s="812">
        <v>795.54652693663127</v>
      </c>
      <c r="AK117" s="812">
        <v>841.92980535166816</v>
      </c>
      <c r="AL117" s="812">
        <v>896.15579436152927</v>
      </c>
      <c r="AM117" s="812">
        <v>1025.6549364162652</v>
      </c>
      <c r="AN117" s="812">
        <v>1178.7313974264641</v>
      </c>
      <c r="AO117" s="812">
        <v>1215.2177274449064</v>
      </c>
      <c r="AP117" s="701"/>
    </row>
    <row r="118" spans="27:42" x14ac:dyDescent="0.2">
      <c r="AA118" t="s">
        <v>1100</v>
      </c>
      <c r="AC118" s="812">
        <v>525.24939195391721</v>
      </c>
      <c r="AD118" s="812">
        <v>541.30844529859496</v>
      </c>
      <c r="AE118" s="812">
        <v>564.88119050703551</v>
      </c>
      <c r="AF118" s="812">
        <v>607.74370328585758</v>
      </c>
      <c r="AG118" s="812">
        <v>666.93816622539555</v>
      </c>
      <c r="AH118" s="812">
        <v>752.90835967598196</v>
      </c>
      <c r="AI118" s="812">
        <v>825.8814111183151</v>
      </c>
      <c r="AJ118" s="812">
        <v>913.55216189366104</v>
      </c>
      <c r="AK118" s="812">
        <v>959.96800230663052</v>
      </c>
      <c r="AL118" s="812">
        <v>1014.2320565213097</v>
      </c>
      <c r="AM118" s="812">
        <v>1143.822114079328</v>
      </c>
      <c r="AN118" s="812">
        <v>1297.0060344619087</v>
      </c>
      <c r="AO118" s="812">
        <v>1333.5179711031913</v>
      </c>
      <c r="AP118" s="701"/>
    </row>
    <row r="119" spans="27:42" x14ac:dyDescent="0.2">
      <c r="AA119" t="s">
        <v>1130</v>
      </c>
      <c r="AD119" s="812">
        <v>659.0529446299779</v>
      </c>
      <c r="AE119" s="812">
        <v>682.64222742530228</v>
      </c>
      <c r="AF119" s="812">
        <v>725.53480676283812</v>
      </c>
      <c r="AG119" s="812">
        <v>784.77079806864947</v>
      </c>
      <c r="AH119" s="812">
        <v>870.80130065561718</v>
      </c>
      <c r="AI119" s="812">
        <v>943.82554346904999</v>
      </c>
      <c r="AJ119" s="812">
        <v>1031.5577968506909</v>
      </c>
      <c r="AK119" s="812">
        <v>1078.0061992615929</v>
      </c>
      <c r="AL119" s="812">
        <v>1132.30831868109</v>
      </c>
      <c r="AM119" s="812">
        <v>1261.9892917423908</v>
      </c>
      <c r="AN119" s="812">
        <v>1415.2806714973533</v>
      </c>
      <c r="AO119" s="812">
        <v>1451.8182147614762</v>
      </c>
    </row>
    <row r="122" spans="27:42" ht="28.5" x14ac:dyDescent="0.45">
      <c r="AA122" s="368" t="s">
        <v>234</v>
      </c>
    </row>
    <row r="123" spans="27:42" x14ac:dyDescent="0.2">
      <c r="AA123" t="s">
        <v>1085</v>
      </c>
      <c r="AC123" s="812">
        <v>570.40886846978628</v>
      </c>
      <c r="AD123" s="812">
        <v>586.7139719792076</v>
      </c>
      <c r="AE123" s="812">
        <v>610.64788738165271</v>
      </c>
      <c r="AF123" s="812">
        <v>654.16712089542568</v>
      </c>
      <c r="AG123" s="812">
        <v>714.26853036756097</v>
      </c>
      <c r="AH123" s="812">
        <v>801.55591835971336</v>
      </c>
      <c r="AI123" s="812">
        <v>875.64702792634375</v>
      </c>
      <c r="AJ123" s="812">
        <v>964.66102822145683</v>
      </c>
      <c r="AK123" s="812">
        <v>1011.7880276470939</v>
      </c>
      <c r="AL123" s="812">
        <v>1066.8834924611001</v>
      </c>
      <c r="AM123" s="812">
        <v>1198.4590607324906</v>
      </c>
      <c r="AN123" s="812">
        <v>1353.9899939727709</v>
      </c>
      <c r="AO123" s="812">
        <v>1391.0613545913454</v>
      </c>
    </row>
    <row r="124" spans="27:42" x14ac:dyDescent="0.2">
      <c r="AA124" t="s">
        <v>1087</v>
      </c>
      <c r="AD124" s="812">
        <v>681.43318931617068</v>
      </c>
      <c r="AE124" s="812">
        <v>705.34439370082862</v>
      </c>
      <c r="AF124" s="812">
        <v>748.82232917726515</v>
      </c>
      <c r="AG124" s="812">
        <v>808.86670538350245</v>
      </c>
      <c r="AH124" s="812">
        <v>896.07126417629775</v>
      </c>
      <c r="AI124" s="812">
        <v>970.09206267763284</v>
      </c>
      <c r="AJ124" s="812">
        <v>1059.0215974144892</v>
      </c>
      <c r="AK124" s="812">
        <v>1106.1038747760638</v>
      </c>
      <c r="AL124" s="812">
        <v>1161.1470570943513</v>
      </c>
      <c r="AM124" s="812">
        <v>1292.5977663503763</v>
      </c>
      <c r="AN124" s="812">
        <v>1447.9811095910759</v>
      </c>
      <c r="AO124" s="812">
        <v>1485.0172909253217</v>
      </c>
    </row>
    <row r="125" spans="27:42" x14ac:dyDescent="0.2">
      <c r="AA125" t="s">
        <v>1089</v>
      </c>
      <c r="AD125" s="812">
        <v>759.53048324384054</v>
      </c>
      <c r="AE125" s="812">
        <v>783.53485330279602</v>
      </c>
      <c r="AF125" s="812">
        <v>827.1821965245224</v>
      </c>
      <c r="AG125" s="812">
        <v>887.4605303306746</v>
      </c>
      <c r="AH125" s="812">
        <v>975.00486953258508</v>
      </c>
      <c r="AI125" s="812">
        <v>1049.3140843683077</v>
      </c>
      <c r="AJ125" s="812">
        <v>1138.5901179758905</v>
      </c>
      <c r="AK125" s="812">
        <v>1185.855849249486</v>
      </c>
      <c r="AL125" s="812">
        <v>1241.1135009637317</v>
      </c>
      <c r="AM125" s="812">
        <v>1373.0763939812912</v>
      </c>
      <c r="AN125" s="812">
        <v>1529.0651702972918</v>
      </c>
      <c r="AO125" s="812">
        <v>1566.2456596025349</v>
      </c>
    </row>
    <row r="126" spans="27:42" x14ac:dyDescent="0.2">
      <c r="AA126" t="s">
        <v>1128</v>
      </c>
      <c r="AE126" s="812">
        <v>852.42725779536943</v>
      </c>
      <c r="AF126" s="812">
        <v>896.22307296667577</v>
      </c>
      <c r="AG126" s="812">
        <v>956.70645012323439</v>
      </c>
      <c r="AH126" s="812">
        <v>1044.5485867768234</v>
      </c>
      <c r="AI126" s="812">
        <v>1119.1105721597955</v>
      </c>
      <c r="AJ126" s="812">
        <v>1208.6902916260603</v>
      </c>
      <c r="AK126" s="812">
        <v>1256.1168034832494</v>
      </c>
      <c r="AL126" s="812">
        <v>1311.5624213424994</v>
      </c>
      <c r="AM126" s="812">
        <v>1443.9742046163676</v>
      </c>
      <c r="AN126" s="812">
        <v>1600.4936014507748</v>
      </c>
      <c r="AO126" s="812">
        <v>1637.8005623172942</v>
      </c>
    </row>
    <row r="128" spans="27:42" x14ac:dyDescent="0.2">
      <c r="AA128" t="s">
        <v>1096</v>
      </c>
      <c r="AB128" s="812">
        <v>267.27911364543974</v>
      </c>
      <c r="AC128" s="812">
        <v>284.42036897788637</v>
      </c>
      <c r="AD128" s="812">
        <v>300.56869383299448</v>
      </c>
      <c r="AE128" s="812">
        <v>324.27247638661839</v>
      </c>
      <c r="AF128" s="812">
        <v>367.37325643168555</v>
      </c>
      <c r="AG128" s="812">
        <v>426.89677109439668</v>
      </c>
      <c r="AH128" s="812">
        <v>513.34486074837355</v>
      </c>
      <c r="AI128" s="812">
        <v>586.72355786016385</v>
      </c>
      <c r="AJ128" s="812">
        <v>674.88165904283608</v>
      </c>
      <c r="AK128" s="812">
        <v>721.55551605049152</v>
      </c>
      <c r="AL128" s="812">
        <v>776.12121968110478</v>
      </c>
      <c r="AM128" s="812">
        <v>906.43164303376363</v>
      </c>
      <c r="AN128" s="812">
        <v>1060.4670921689353</v>
      </c>
      <c r="AO128" s="812">
        <v>1097.1819990457166</v>
      </c>
    </row>
    <row r="129" spans="27:41" x14ac:dyDescent="0.2">
      <c r="AA129" t="s">
        <v>1098</v>
      </c>
      <c r="AC129" s="812">
        <v>384.30598797614198</v>
      </c>
      <c r="AD129" s="812">
        <v>400.3537758952782</v>
      </c>
      <c r="AE129" s="812">
        <v>423.90998499094525</v>
      </c>
      <c r="AF129" s="812">
        <v>466.74243014969403</v>
      </c>
      <c r="AG129" s="812">
        <v>525.8953646639942</v>
      </c>
      <c r="AH129" s="812">
        <v>611.80525110091821</v>
      </c>
      <c r="AI129" s="812">
        <v>684.72710869564639</v>
      </c>
      <c r="AJ129" s="812">
        <v>772.33635918396442</v>
      </c>
      <c r="AK129" s="812">
        <v>818.71963413975561</v>
      </c>
      <c r="AL129" s="812">
        <v>872.94562668748165</v>
      </c>
      <c r="AM129" s="812">
        <v>1002.4447674056906</v>
      </c>
      <c r="AN129" s="812">
        <v>1155.5212307744659</v>
      </c>
      <c r="AO129" s="812">
        <v>1192.0075576481395</v>
      </c>
    </row>
    <row r="130" spans="27:41" x14ac:dyDescent="0.2">
      <c r="AA130" t="s">
        <v>1100</v>
      </c>
      <c r="AC130" s="812">
        <v>502.02292758047525</v>
      </c>
      <c r="AD130" s="812">
        <v>518.08198171231561</v>
      </c>
      <c r="AE130" s="812">
        <v>541.65472789874605</v>
      </c>
      <c r="AF130" s="812">
        <v>584.51724158399793</v>
      </c>
      <c r="AG130" s="812">
        <v>643.71170266296951</v>
      </c>
      <c r="AH130" s="812">
        <v>729.68189711539924</v>
      </c>
      <c r="AI130" s="812">
        <v>802.65494731735498</v>
      </c>
      <c r="AJ130" s="812">
        <v>890.32569637525512</v>
      </c>
      <c r="AK130" s="812">
        <v>936.74153631115678</v>
      </c>
      <c r="AL130" s="812">
        <v>991.00559558275881</v>
      </c>
      <c r="AM130" s="812">
        <v>1120.5956415003125</v>
      </c>
      <c r="AN130" s="812">
        <v>1273.7795616920657</v>
      </c>
      <c r="AO130" s="812">
        <v>1310.2915071114041</v>
      </c>
    </row>
    <row r="131" spans="27:41" x14ac:dyDescent="0.2">
      <c r="AA131" t="s">
        <v>1130</v>
      </c>
      <c r="AD131" s="812">
        <v>635.81018752935302</v>
      </c>
      <c r="AE131" s="812">
        <v>659.39947080654679</v>
      </c>
      <c r="AF131" s="812">
        <v>702.29205301830189</v>
      </c>
      <c r="AG131" s="812">
        <v>761.52804066194483</v>
      </c>
      <c r="AH131" s="812">
        <v>847.55854312988026</v>
      </c>
      <c r="AI131" s="812">
        <v>920.58278593906357</v>
      </c>
      <c r="AJ131" s="812">
        <v>1008.3150335665458</v>
      </c>
      <c r="AK131" s="812">
        <v>1054.7634384825578</v>
      </c>
      <c r="AL131" s="812">
        <v>1109.0655644780359</v>
      </c>
      <c r="AM131" s="812">
        <v>1238.7465155949344</v>
      </c>
      <c r="AN131" s="812">
        <v>1392.0378926096655</v>
      </c>
      <c r="AO131" s="812">
        <v>1428.5754565746688</v>
      </c>
    </row>
    <row r="134" spans="27:41" ht="28.5" x14ac:dyDescent="0.45">
      <c r="AA134" s="368" t="s">
        <v>242</v>
      </c>
    </row>
    <row r="135" spans="27:41" x14ac:dyDescent="0.2">
      <c r="AA135" t="s">
        <v>1085</v>
      </c>
      <c r="AC135" s="812">
        <v>623.66244064739305</v>
      </c>
      <c r="AD135" s="812">
        <v>639.96754505112858</v>
      </c>
      <c r="AE135" s="812">
        <v>663.90145979865815</v>
      </c>
      <c r="AF135" s="812">
        <v>707.42069266132773</v>
      </c>
      <c r="AG135" s="812">
        <v>767.52210298279476</v>
      </c>
      <c r="AH135" s="812">
        <v>854.80949233814727</v>
      </c>
      <c r="AI135" s="812">
        <v>928.90059988894916</v>
      </c>
      <c r="AJ135" s="812">
        <v>1017.9146003670421</v>
      </c>
      <c r="AK135" s="812">
        <v>1065.0416007441745</v>
      </c>
      <c r="AL135" s="812">
        <v>1120.1370657106643</v>
      </c>
      <c r="AM135" s="812">
        <v>1251.7126337929756</v>
      </c>
      <c r="AN135" s="812">
        <v>1407.2435675943939</v>
      </c>
      <c r="AO135" s="812">
        <v>1444.3149275908368</v>
      </c>
    </row>
    <row r="136" spans="27:41" x14ac:dyDescent="0.2">
      <c r="AA136" t="s">
        <v>1087</v>
      </c>
      <c r="AD136" s="812">
        <v>734.63622836777279</v>
      </c>
      <c r="AE136" s="812">
        <v>758.54743158962731</v>
      </c>
      <c r="AF136" s="812">
        <v>802.02536731471344</v>
      </c>
      <c r="AG136" s="812">
        <v>862.06974510060843</v>
      </c>
      <c r="AH136" s="812">
        <v>949.27430133377334</v>
      </c>
      <c r="AI136" s="812">
        <v>1023.2951033600855</v>
      </c>
      <c r="AJ136" s="812">
        <v>1112.224633211704</v>
      </c>
      <c r="AK136" s="812">
        <v>1159.3069143761581</v>
      </c>
      <c r="AL136" s="812">
        <v>1214.3500969284689</v>
      </c>
      <c r="AM136" s="812">
        <v>1345.800805511677</v>
      </c>
      <c r="AN136" s="812">
        <v>1501.1841479918007</v>
      </c>
      <c r="AO136" s="812">
        <v>1538.220332485362</v>
      </c>
    </row>
    <row r="137" spans="27:41" x14ac:dyDescent="0.2">
      <c r="AA137" t="s">
        <v>1089</v>
      </c>
      <c r="AD137" s="812">
        <v>812.94082024322211</v>
      </c>
      <c r="AE137" s="812">
        <v>836.94519242578417</v>
      </c>
      <c r="AF137" s="812">
        <v>880.59253463626919</v>
      </c>
      <c r="AG137" s="812">
        <v>940.87086671798886</v>
      </c>
      <c r="AH137" s="812">
        <v>1028.4152085384824</v>
      </c>
      <c r="AI137" s="812">
        <v>1102.7244208407792</v>
      </c>
      <c r="AJ137" s="812">
        <v>1192.0004572159698</v>
      </c>
      <c r="AK137" s="812">
        <v>1239.266186062586</v>
      </c>
      <c r="AL137" s="812">
        <v>1294.523838245196</v>
      </c>
      <c r="AM137" s="812">
        <v>1426.4867304537627</v>
      </c>
      <c r="AN137" s="812">
        <v>1582.4755076639135</v>
      </c>
      <c r="AO137" s="812">
        <v>1619.6559972246282</v>
      </c>
    </row>
    <row r="138" spans="27:41" x14ac:dyDescent="0.2">
      <c r="AA138" t="s">
        <v>1128</v>
      </c>
      <c r="AE138" s="812">
        <v>906.0192784870269</v>
      </c>
      <c r="AF138" s="812">
        <v>949.81509462144697</v>
      </c>
      <c r="AG138" s="812">
        <v>1010.2984704938536</v>
      </c>
      <c r="AH138" s="812">
        <v>1098.140606184329</v>
      </c>
      <c r="AI138" s="812">
        <v>1172.7025908668547</v>
      </c>
      <c r="AJ138" s="812">
        <v>1262.2823131349051</v>
      </c>
      <c r="AK138" s="812">
        <v>1309.7088246418714</v>
      </c>
      <c r="AL138" s="812">
        <v>1365.1544409251171</v>
      </c>
      <c r="AM138" s="812">
        <v>1497.5662223894983</v>
      </c>
      <c r="AN138" s="812">
        <v>1654.0856189904234</v>
      </c>
      <c r="AO138" s="812">
        <v>1691.3925830089518</v>
      </c>
    </row>
    <row r="140" spans="27:41" x14ac:dyDescent="0.2">
      <c r="AA140" t="s">
        <v>1096</v>
      </c>
      <c r="AB140" s="812">
        <v>320.02063512923439</v>
      </c>
      <c r="AC140" s="812">
        <v>337.16189031049799</v>
      </c>
      <c r="AD140" s="812">
        <v>353.31021531130625</v>
      </c>
      <c r="AE140" s="812">
        <v>377.01399701074945</v>
      </c>
      <c r="AF140" s="812">
        <v>420.11477772888793</v>
      </c>
      <c r="AG140" s="812">
        <v>479.63829236409282</v>
      </c>
      <c r="AH140" s="812">
        <v>566.08638215310066</v>
      </c>
      <c r="AI140" s="812">
        <v>639.465078931481</v>
      </c>
      <c r="AJ140" s="812">
        <v>727.62318008414627</v>
      </c>
      <c r="AK140" s="812">
        <v>774.29703751189822</v>
      </c>
      <c r="AL140" s="812">
        <v>828.8627403956732</v>
      </c>
      <c r="AM140" s="812">
        <v>959.1731648419169</v>
      </c>
      <c r="AN140" s="812">
        <v>1113.2086152707193</v>
      </c>
      <c r="AO140" s="812">
        <v>1149.9235210072384</v>
      </c>
    </row>
    <row r="141" spans="27:41" x14ac:dyDescent="0.2">
      <c r="AA141" t="s">
        <v>1098</v>
      </c>
      <c r="AC141" s="812">
        <v>436.71915360612843</v>
      </c>
      <c r="AD141" s="812">
        <v>452.7669416161682</v>
      </c>
      <c r="AE141" s="812">
        <v>476.323150171328</v>
      </c>
      <c r="AF141" s="812">
        <v>519.15559564455384</v>
      </c>
      <c r="AG141" s="812">
        <v>578.30852939231647</v>
      </c>
      <c r="AH141" s="812">
        <v>664.21841508235809</v>
      </c>
      <c r="AI141" s="812">
        <v>737.14027409223195</v>
      </c>
      <c r="AJ141" s="812">
        <v>824.74952257576001</v>
      </c>
      <c r="AK141" s="812">
        <v>871.13280154113147</v>
      </c>
      <c r="AL141" s="812">
        <v>925.35879322404594</v>
      </c>
      <c r="AM141" s="812">
        <v>1054.8579318981554</v>
      </c>
      <c r="AN141" s="812">
        <v>1207.9343951883118</v>
      </c>
      <c r="AO141" s="812">
        <v>1244.4207225337002</v>
      </c>
    </row>
    <row r="142" spans="27:41" x14ac:dyDescent="0.2">
      <c r="AA142" t="s">
        <v>1100</v>
      </c>
      <c r="AC142" s="812">
        <v>554.47288568989768</v>
      </c>
      <c r="AD142" s="812">
        <v>570.53194332818953</v>
      </c>
      <c r="AE142" s="812">
        <v>594.10468681918439</v>
      </c>
      <c r="AF142" s="812">
        <v>636.96720062370332</v>
      </c>
      <c r="AG142" s="812">
        <v>696.16166089165904</v>
      </c>
      <c r="AH142" s="812">
        <v>782.13185615510474</v>
      </c>
      <c r="AI142" s="812">
        <v>855.10490502126925</v>
      </c>
      <c r="AJ142" s="812">
        <v>942.7756578003017</v>
      </c>
      <c r="AK142" s="812">
        <v>989.19149210679814</v>
      </c>
      <c r="AL142" s="812">
        <v>1043.455551760055</v>
      </c>
      <c r="AM142" s="812">
        <v>1173.0455974867814</v>
      </c>
      <c r="AN142" s="812">
        <v>1326.2295201592895</v>
      </c>
      <c r="AO142" s="812">
        <v>1362.7414655786279</v>
      </c>
    </row>
    <row r="143" spans="27:41" x14ac:dyDescent="0.2">
      <c r="AA143" t="s">
        <v>1130</v>
      </c>
      <c r="AD143" s="812">
        <v>688.29694504021086</v>
      </c>
      <c r="AE143" s="812">
        <v>711.88622346704074</v>
      </c>
      <c r="AF143" s="812">
        <v>754.7788056028528</v>
      </c>
      <c r="AG143" s="812">
        <v>814.01479239100161</v>
      </c>
      <c r="AH143" s="812">
        <v>900.04529722785139</v>
      </c>
      <c r="AI143" s="812">
        <v>973.06953595030654</v>
      </c>
      <c r="AJ143" s="812">
        <v>1060.8017930248434</v>
      </c>
      <c r="AK143" s="812">
        <v>1107.2501826724647</v>
      </c>
      <c r="AL143" s="812">
        <v>1161.552310296064</v>
      </c>
      <c r="AM143" s="812">
        <v>1291.2332630754074</v>
      </c>
      <c r="AN143" s="812">
        <v>1444.5246451302671</v>
      </c>
      <c r="AO143" s="812">
        <v>1481.0622086235555</v>
      </c>
    </row>
    <row r="146" spans="27:42" ht="28.5" x14ac:dyDescent="0.45">
      <c r="AA146" s="368" t="s">
        <v>235</v>
      </c>
    </row>
    <row r="147" spans="27:42" x14ac:dyDescent="0.2">
      <c r="AA147" t="s">
        <v>1085</v>
      </c>
      <c r="AC147" s="812">
        <v>645.62222168571861</v>
      </c>
      <c r="AD147" s="812">
        <v>661.92732578753737</v>
      </c>
      <c r="AE147" s="812">
        <v>685.86124137677427</v>
      </c>
      <c r="AF147" s="812">
        <v>729.38047405951352</v>
      </c>
      <c r="AG147" s="812">
        <v>789.4818839143818</v>
      </c>
      <c r="AH147" s="812">
        <v>876.76927165036238</v>
      </c>
      <c r="AI147" s="812">
        <v>950.86038050337129</v>
      </c>
      <c r="AJ147" s="812">
        <v>1039.8743821220387</v>
      </c>
      <c r="AK147" s="812">
        <v>1087.0013816208677</v>
      </c>
      <c r="AL147" s="812">
        <v>1142.0968462701924</v>
      </c>
      <c r="AM147" s="812">
        <v>1273.6724151759133</v>
      </c>
      <c r="AN147" s="812">
        <v>1429.2033488065504</v>
      </c>
      <c r="AO147" s="812">
        <v>1466.274707802703</v>
      </c>
      <c r="AP147" s="701"/>
    </row>
    <row r="148" spans="27:42" x14ac:dyDescent="0.2">
      <c r="AA148" t="s">
        <v>1087</v>
      </c>
      <c r="AC148" s="812"/>
      <c r="AD148" s="812">
        <v>756.57517160942768</v>
      </c>
      <c r="AE148" s="812">
        <v>780.48637377817693</v>
      </c>
      <c r="AF148" s="812">
        <v>823.96430834777289</v>
      </c>
      <c r="AG148" s="812">
        <v>884.00868804973436</v>
      </c>
      <c r="AH148" s="812">
        <v>971.21324396111675</v>
      </c>
      <c r="AI148" s="812">
        <v>1045.2340465432344</v>
      </c>
      <c r="AJ148" s="812">
        <v>1134.1635748444482</v>
      </c>
      <c r="AK148" s="812">
        <v>1181.245856535455</v>
      </c>
      <c r="AL148" s="812">
        <v>1236.2890384734546</v>
      </c>
      <c r="AM148" s="812">
        <v>1367.7397502452311</v>
      </c>
      <c r="AN148" s="812">
        <v>1523.1230933689187</v>
      </c>
      <c r="AO148" s="812">
        <v>1560.159271134308</v>
      </c>
      <c r="AP148" s="701"/>
    </row>
    <row r="149" spans="27:42" x14ac:dyDescent="0.2">
      <c r="AA149" t="s">
        <v>1089</v>
      </c>
      <c r="AC149" s="812"/>
      <c r="AD149" s="812">
        <v>834.96524630464501</v>
      </c>
      <c r="AE149" s="812">
        <v>858.96961743338704</v>
      </c>
      <c r="AF149" s="812">
        <v>902.61696009626962</v>
      </c>
      <c r="AG149" s="812">
        <v>962.89529168833565</v>
      </c>
      <c r="AH149" s="812">
        <v>1050.4396314863461</v>
      </c>
      <c r="AI149" s="812">
        <v>1124.7488451830916</v>
      </c>
      <c r="AJ149" s="812">
        <v>1214.024882175672</v>
      </c>
      <c r="AK149" s="812">
        <v>1261.290609851377</v>
      </c>
      <c r="AL149" s="812">
        <v>1316.548261459176</v>
      </c>
      <c r="AM149" s="812">
        <v>1448.5111546683395</v>
      </c>
      <c r="AN149" s="812">
        <v>1604.4999326023265</v>
      </c>
      <c r="AO149" s="812">
        <v>1641.6804215669406</v>
      </c>
      <c r="AP149" s="701"/>
    </row>
    <row r="150" spans="27:42" x14ac:dyDescent="0.2">
      <c r="AA150" t="s">
        <v>1128</v>
      </c>
      <c r="AC150" s="812"/>
      <c r="AD150" s="812"/>
      <c r="AE150" s="812">
        <v>928.11862247918259</v>
      </c>
      <c r="AF150" s="812">
        <v>971.91443633715187</v>
      </c>
      <c r="AG150" s="812">
        <v>1032.3978142233423</v>
      </c>
      <c r="AH150" s="812">
        <v>1120.2399491258152</v>
      </c>
      <c r="AI150" s="812">
        <v>1194.8019352092338</v>
      </c>
      <c r="AJ150" s="812">
        <v>1284.3816557845389</v>
      </c>
      <c r="AK150" s="812">
        <v>1331.8081644313481</v>
      </c>
      <c r="AL150" s="812">
        <v>1387.2537835163803</v>
      </c>
      <c r="AM150" s="812">
        <v>1519.6655698255158</v>
      </c>
      <c r="AN150" s="812">
        <v>1676.1849614065748</v>
      </c>
      <c r="AO150" s="812">
        <v>1713.4919251916208</v>
      </c>
      <c r="AP150" s="701"/>
    </row>
    <row r="151" spans="27:42" x14ac:dyDescent="0.2">
      <c r="AP151" s="701"/>
    </row>
    <row r="152" spans="27:42" x14ac:dyDescent="0.2">
      <c r="AA152" t="s">
        <v>1096</v>
      </c>
      <c r="AB152" s="812">
        <v>341.76926489123122</v>
      </c>
      <c r="AC152" s="812">
        <v>358.91052019863707</v>
      </c>
      <c r="AD152" s="812">
        <v>375.05884525169688</v>
      </c>
      <c r="AE152" s="812">
        <v>398.76262728996795</v>
      </c>
      <c r="AF152" s="812">
        <v>441.86340810812942</v>
      </c>
      <c r="AG152" s="812">
        <v>501.38692228489555</v>
      </c>
      <c r="AH152" s="812">
        <v>587.8350122656143</v>
      </c>
      <c r="AI152" s="812">
        <v>661.21370940407735</v>
      </c>
      <c r="AJ152" s="812">
        <v>749.371810199994</v>
      </c>
      <c r="AK152" s="812">
        <v>796.04566766108678</v>
      </c>
      <c r="AL152" s="812">
        <v>850.61137019144724</v>
      </c>
      <c r="AM152" s="812">
        <v>980.92179437096297</v>
      </c>
      <c r="AN152" s="812">
        <v>1134.9572445130325</v>
      </c>
      <c r="AO152" s="812">
        <v>1171.6721509163719</v>
      </c>
      <c r="AP152" s="701"/>
    </row>
    <row r="153" spans="27:42" x14ac:dyDescent="0.2">
      <c r="AA153" t="s">
        <v>1098</v>
      </c>
      <c r="AB153" s="812"/>
      <c r="AC153" s="812">
        <v>458.33238064726635</v>
      </c>
      <c r="AD153" s="812">
        <v>474.3801698857315</v>
      </c>
      <c r="AE153" s="812">
        <v>497.9363786374393</v>
      </c>
      <c r="AF153" s="812">
        <v>540.76882416962951</v>
      </c>
      <c r="AG153" s="812">
        <v>599.92175825152401</v>
      </c>
      <c r="AH153" s="812">
        <v>685.83164276227706</v>
      </c>
      <c r="AI153" s="812">
        <v>758.75350247972403</v>
      </c>
      <c r="AJ153" s="812">
        <v>846.36275104187143</v>
      </c>
      <c r="AK153" s="812">
        <v>892.74603102929268</v>
      </c>
      <c r="AL153" s="812">
        <v>946.97201744471954</v>
      </c>
      <c r="AM153" s="812">
        <v>1076.4711643738469</v>
      </c>
      <c r="AN153" s="812">
        <v>1229.5476257771418</v>
      </c>
      <c r="AO153" s="812">
        <v>1266.0339512356693</v>
      </c>
      <c r="AP153" s="701"/>
    </row>
    <row r="154" spans="27:42" x14ac:dyDescent="0.2">
      <c r="AA154" t="s">
        <v>1100</v>
      </c>
      <c r="AB154" s="812"/>
      <c r="AC154" s="812">
        <v>576.10128870144149</v>
      </c>
      <c r="AD154" s="812">
        <v>592.16033946995083</v>
      </c>
      <c r="AE154" s="812">
        <v>615.73308849493719</v>
      </c>
      <c r="AF154" s="812">
        <v>658.59560330129932</v>
      </c>
      <c r="AG154" s="812">
        <v>717.79006123162071</v>
      </c>
      <c r="AH154" s="812">
        <v>803.76025506386168</v>
      </c>
      <c r="AI154" s="812">
        <v>876.73330617224713</v>
      </c>
      <c r="AJ154" s="812">
        <v>964.40405856962491</v>
      </c>
      <c r="AK154" s="812">
        <v>1010.8198972651489</v>
      </c>
      <c r="AL154" s="812">
        <v>1065.0839552963739</v>
      </c>
      <c r="AM154" s="812">
        <v>1194.6740044579915</v>
      </c>
      <c r="AN154" s="812">
        <v>1347.8579280846359</v>
      </c>
      <c r="AO154" s="812">
        <v>1384.3698717865286</v>
      </c>
      <c r="AP154" s="701"/>
    </row>
    <row r="155" spans="27:42" x14ac:dyDescent="0.2">
      <c r="AA155" t="s">
        <v>1130</v>
      </c>
      <c r="AD155" s="812">
        <v>709.94050905417021</v>
      </c>
      <c r="AE155" s="812">
        <v>733.52979835243514</v>
      </c>
      <c r="AF155" s="812">
        <v>776.42238243296913</v>
      </c>
      <c r="AG155" s="812">
        <v>835.65836421171741</v>
      </c>
      <c r="AH155" s="812">
        <v>921.6888673654463</v>
      </c>
      <c r="AI155" s="812">
        <v>994.71310986477022</v>
      </c>
      <c r="AJ155" s="812">
        <v>1082.4453660973784</v>
      </c>
      <c r="AK155" s="812">
        <v>1128.8937635010052</v>
      </c>
      <c r="AL155" s="812">
        <v>1183.1958931480283</v>
      </c>
      <c r="AM155" s="812">
        <v>1312.876844542136</v>
      </c>
      <c r="AN155" s="812">
        <v>1466.16823039213</v>
      </c>
      <c r="AO155" s="812">
        <v>1502.7057923373879</v>
      </c>
      <c r="AP155" s="701"/>
    </row>
    <row r="156" spans="27:42" x14ac:dyDescent="0.2">
      <c r="AP156" s="701"/>
    </row>
    <row r="157" spans="27:42" x14ac:dyDescent="0.2">
      <c r="AP157" s="701"/>
    </row>
    <row r="158" spans="27:42" ht="28.5" x14ac:dyDescent="0.45">
      <c r="AA158" s="368" t="s">
        <v>241</v>
      </c>
      <c r="AP158" s="701"/>
    </row>
    <row r="159" spans="27:42" x14ac:dyDescent="0.2">
      <c r="AA159" t="s">
        <v>1085</v>
      </c>
      <c r="AC159" s="812">
        <v>639.00311474824684</v>
      </c>
      <c r="AD159" s="812">
        <v>655.30821827977832</v>
      </c>
      <c r="AE159" s="812">
        <v>679.24213394373191</v>
      </c>
      <c r="AF159" s="812">
        <v>722.76136734619229</v>
      </c>
      <c r="AG159" s="812">
        <v>782.86277627396237</v>
      </c>
      <c r="AH159" s="812">
        <v>870.15016494314034</v>
      </c>
      <c r="AI159" s="812">
        <v>944.24127364366586</v>
      </c>
      <c r="AJ159" s="812">
        <v>1033.2552749268702</v>
      </c>
      <c r="AK159" s="812">
        <v>1080.3822742122229</v>
      </c>
      <c r="AL159" s="812">
        <v>1135.477738782256</v>
      </c>
      <c r="AM159" s="812">
        <v>1267.053307596487</v>
      </c>
      <c r="AN159" s="812">
        <v>1422.5842416174812</v>
      </c>
      <c r="AO159" s="812">
        <v>1459.6556005282434</v>
      </c>
      <c r="AP159" s="701"/>
    </row>
    <row r="160" spans="27:42" x14ac:dyDescent="0.2">
      <c r="AA160" t="s">
        <v>1087</v>
      </c>
      <c r="AC160" s="812"/>
      <c r="AD160" s="812">
        <v>749.96234564117026</v>
      </c>
      <c r="AE160" s="812">
        <v>773.87354704934353</v>
      </c>
      <c r="AF160" s="812">
        <v>817.35148235026247</v>
      </c>
      <c r="AG160" s="812">
        <v>877.39586158417717</v>
      </c>
      <c r="AH160" s="812">
        <v>964.60041834389438</v>
      </c>
      <c r="AI160" s="812">
        <v>1038.6212200776774</v>
      </c>
      <c r="AJ160" s="812">
        <v>1127.550749900043</v>
      </c>
      <c r="AK160" s="812">
        <v>1174.6330323516256</v>
      </c>
      <c r="AL160" s="812">
        <v>1229.676211481345</v>
      </c>
      <c r="AM160" s="812">
        <v>1361.1269243939848</v>
      </c>
      <c r="AN160" s="812">
        <v>1516.5102675176731</v>
      </c>
      <c r="AO160" s="812">
        <v>1553.5464448735215</v>
      </c>
      <c r="AP160" s="701"/>
    </row>
    <row r="161" spans="27:45" x14ac:dyDescent="0.2">
      <c r="AA161" t="s">
        <v>1089</v>
      </c>
      <c r="AC161" s="812"/>
      <c r="AD161" s="812">
        <v>828.32665425544269</v>
      </c>
      <c r="AE161" s="812">
        <v>852.33102602818587</v>
      </c>
      <c r="AF161" s="812">
        <v>895.97836782885224</v>
      </c>
      <c r="AG161" s="812">
        <v>956.25669982541456</v>
      </c>
      <c r="AH161" s="812">
        <v>1043.8010399640536</v>
      </c>
      <c r="AI161" s="812">
        <v>1118.1102528518063</v>
      </c>
      <c r="AJ161" s="812">
        <v>1207.3862901424366</v>
      </c>
      <c r="AK161" s="812">
        <v>1254.6520186910027</v>
      </c>
      <c r="AL161" s="812">
        <v>1309.9096704265376</v>
      </c>
      <c r="AM161" s="812">
        <v>1441.8725630821791</v>
      </c>
      <c r="AN161" s="812">
        <v>1597.8613389723944</v>
      </c>
      <c r="AO161" s="812">
        <v>1635.0418285756871</v>
      </c>
      <c r="AP161" s="701"/>
    </row>
    <row r="162" spans="27:45" x14ac:dyDescent="0.2">
      <c r="AA162" t="s">
        <v>1128</v>
      </c>
      <c r="AC162" s="812"/>
      <c r="AD162" s="812"/>
      <c r="AE162" s="812">
        <v>921.45744709241728</v>
      </c>
      <c r="AF162" s="812">
        <v>965.25326261394673</v>
      </c>
      <c r="AG162" s="812">
        <v>1025.7366397705052</v>
      </c>
      <c r="AH162" s="812">
        <v>1113.5787749356457</v>
      </c>
      <c r="AI162" s="812">
        <v>1188.1407620113637</v>
      </c>
      <c r="AJ162" s="812">
        <v>1277.720484279414</v>
      </c>
      <c r="AK162" s="812">
        <v>1325.1469926927412</v>
      </c>
      <c r="AL162" s="812">
        <v>1380.5926102017686</v>
      </c>
      <c r="AM162" s="812">
        <v>1513.0043940593414</v>
      </c>
      <c r="AN162" s="812">
        <v>1669.5237894928562</v>
      </c>
      <c r="AO162" s="812">
        <v>1706.830752927679</v>
      </c>
      <c r="AP162" s="701"/>
      <c r="AQ162" s="701"/>
      <c r="AR162" s="701"/>
      <c r="AS162" s="701"/>
    </row>
    <row r="163" spans="27:45" x14ac:dyDescent="0.2">
      <c r="AP163" s="701"/>
      <c r="AQ163" s="701"/>
      <c r="AR163" s="701"/>
      <c r="AS163" s="701"/>
    </row>
    <row r="164" spans="27:45" x14ac:dyDescent="0.2">
      <c r="AA164" t="s">
        <v>1096</v>
      </c>
      <c r="AB164" s="812">
        <v>335.21380296192342</v>
      </c>
      <c r="AC164" s="812">
        <v>352.35505789497245</v>
      </c>
      <c r="AD164" s="812">
        <v>368.50338261024626</v>
      </c>
      <c r="AE164" s="812">
        <v>392.20716523448539</v>
      </c>
      <c r="AF164" s="812">
        <v>435.30794597596253</v>
      </c>
      <c r="AG164" s="812">
        <v>494.83146009271485</v>
      </c>
      <c r="AH164" s="812">
        <v>581.27954957498559</v>
      </c>
      <c r="AI164" s="812">
        <v>654.65824767366939</v>
      </c>
      <c r="AJ164" s="812">
        <v>742.8163480061462</v>
      </c>
      <c r="AK164" s="812">
        <v>789.49020583399022</v>
      </c>
      <c r="AL164" s="812">
        <v>844.05590833767769</v>
      </c>
      <c r="AM164" s="812">
        <v>974.36633301730819</v>
      </c>
      <c r="AN164" s="812">
        <v>1128.4017827659541</v>
      </c>
      <c r="AO164" s="812">
        <v>1165.1166887558652</v>
      </c>
      <c r="AP164" s="701"/>
      <c r="AQ164" s="701"/>
      <c r="AR164" s="701"/>
      <c r="AS164" s="701"/>
    </row>
    <row r="165" spans="27:45" x14ac:dyDescent="0.2">
      <c r="AA165" t="s">
        <v>1098</v>
      </c>
      <c r="AB165" s="812"/>
      <c r="AC165" s="812">
        <v>451.81773121662815</v>
      </c>
      <c r="AD165" s="812">
        <v>467.86552133955945</v>
      </c>
      <c r="AE165" s="812">
        <v>491.42172930507513</v>
      </c>
      <c r="AF165" s="812">
        <v>534.25417458175298</v>
      </c>
      <c r="AG165" s="812">
        <v>593.40710913536259</v>
      </c>
      <c r="AH165" s="812">
        <v>679.3169941571407</v>
      </c>
      <c r="AI165" s="812">
        <v>752.23885179117838</v>
      </c>
      <c r="AJ165" s="812">
        <v>839.84810176847157</v>
      </c>
      <c r="AK165" s="812">
        <v>886.23138277794271</v>
      </c>
      <c r="AL165" s="812">
        <v>940.45736809270045</v>
      </c>
      <c r="AM165" s="812">
        <v>1069.9565134494435</v>
      </c>
      <c r="AN165" s="812">
        <v>1223.0329770540766</v>
      </c>
      <c r="AO165" s="812">
        <v>1259.5193031415577</v>
      </c>
      <c r="AP165" s="701"/>
      <c r="AQ165" s="701"/>
      <c r="AR165" s="701"/>
      <c r="AS165" s="701"/>
    </row>
    <row r="166" spans="27:45" x14ac:dyDescent="0.2">
      <c r="AA166" t="s">
        <v>1100</v>
      </c>
      <c r="AB166" s="812"/>
      <c r="AC166" s="812">
        <v>569.58206596217531</v>
      </c>
      <c r="AD166" s="812">
        <v>585.64111775638128</v>
      </c>
      <c r="AE166" s="812">
        <v>609.21386575567101</v>
      </c>
      <c r="AF166" s="812">
        <v>652.07638108680828</v>
      </c>
      <c r="AG166" s="812">
        <v>711.27083882630234</v>
      </c>
      <c r="AH166" s="812">
        <v>797.24103246771608</v>
      </c>
      <c r="AI166" s="812">
        <v>870.21408290820591</v>
      </c>
      <c r="AJ166" s="812">
        <v>957.88483492392913</v>
      </c>
      <c r="AK166" s="812">
        <v>1004.3006740011078</v>
      </c>
      <c r="AL166" s="812">
        <v>1058.564732509401</v>
      </c>
      <c r="AM166" s="812">
        <v>1188.1547792856773</v>
      </c>
      <c r="AN166" s="812">
        <v>1341.3387032939768</v>
      </c>
      <c r="AO166" s="812">
        <v>1377.8506460417327</v>
      </c>
      <c r="AP166" s="701"/>
      <c r="AQ166" s="701"/>
      <c r="AR166" s="701"/>
      <c r="AS166" s="701"/>
    </row>
    <row r="167" spans="27:45" x14ac:dyDescent="0.2">
      <c r="AA167" t="s">
        <v>1130</v>
      </c>
      <c r="AD167" s="812">
        <v>703.4167141732031</v>
      </c>
      <c r="AE167" s="812">
        <v>727.00600220626688</v>
      </c>
      <c r="AF167" s="812">
        <v>769.89858759186359</v>
      </c>
      <c r="AG167" s="812">
        <v>829.13456851724209</v>
      </c>
      <c r="AH167" s="812">
        <v>915.16507077829147</v>
      </c>
      <c r="AI167" s="812">
        <v>988.18931402523344</v>
      </c>
      <c r="AJ167" s="812">
        <v>1075.9215680793868</v>
      </c>
      <c r="AK167" s="812">
        <v>1122.3699652242731</v>
      </c>
      <c r="AL167" s="812">
        <v>1176.6720969261014</v>
      </c>
      <c r="AM167" s="812">
        <v>1306.353045121911</v>
      </c>
      <c r="AN167" s="812">
        <v>1459.644429533877</v>
      </c>
      <c r="AO167" s="812">
        <v>1496.1819889419078</v>
      </c>
      <c r="AP167" s="701"/>
      <c r="AQ167" s="701"/>
      <c r="AR167" s="701"/>
      <c r="AS167" s="701"/>
    </row>
    <row r="168" spans="27:45" x14ac:dyDescent="0.2">
      <c r="AP168" s="701"/>
      <c r="AQ168" s="701"/>
      <c r="AR168" s="701"/>
      <c r="AS168" s="701"/>
    </row>
    <row r="169" spans="27:45" x14ac:dyDescent="0.2">
      <c r="AP169" s="701"/>
      <c r="AQ169" s="701"/>
      <c r="AR169" s="701"/>
      <c r="AS169" s="701"/>
    </row>
    <row r="170" spans="27:45" ht="28.5" x14ac:dyDescent="0.45">
      <c r="AA170" s="368" t="s">
        <v>236</v>
      </c>
      <c r="AP170" s="701"/>
      <c r="AQ170" s="701"/>
      <c r="AR170" s="701"/>
      <c r="AS170" s="701"/>
    </row>
    <row r="171" spans="27:45" x14ac:dyDescent="0.2">
      <c r="AA171" t="s">
        <v>1085</v>
      </c>
      <c r="AC171" s="812">
        <v>653.56924075782354</v>
      </c>
      <c r="AD171" s="812">
        <v>669.87434496180617</v>
      </c>
      <c r="AE171" s="812">
        <v>693.80826000515322</v>
      </c>
      <c r="AF171" s="812">
        <v>737.32749264214749</v>
      </c>
      <c r="AG171" s="812">
        <v>797.42890282637961</v>
      </c>
      <c r="AH171" s="812">
        <v>884.7162919713054</v>
      </c>
      <c r="AI171" s="812">
        <v>958.80740020218252</v>
      </c>
      <c r="AJ171" s="812">
        <v>1047.8214007595664</v>
      </c>
      <c r="AK171" s="812">
        <v>1094.9484009354214</v>
      </c>
      <c r="AL171" s="812">
        <v>1150.0438658958115</v>
      </c>
      <c r="AM171" s="812">
        <v>1281.6194339110302</v>
      </c>
      <c r="AN171" s="812">
        <v>1437.1503676392567</v>
      </c>
      <c r="AO171" s="812">
        <v>1474.2217274161237</v>
      </c>
      <c r="AP171" s="701"/>
    </row>
    <row r="172" spans="27:45" x14ac:dyDescent="0.2">
      <c r="AA172" t="s">
        <v>1087</v>
      </c>
      <c r="AC172" s="812"/>
      <c r="AD172" s="812">
        <v>764.51464921128593</v>
      </c>
      <c r="AE172" s="812">
        <v>788.42585224299648</v>
      </c>
      <c r="AF172" s="812">
        <v>831.90378741227721</v>
      </c>
      <c r="AG172" s="812">
        <v>891.94816609038639</v>
      </c>
      <c r="AH172" s="812">
        <v>979.15272165073384</v>
      </c>
      <c r="AI172" s="812">
        <v>1053.1735234430228</v>
      </c>
      <c r="AJ172" s="812">
        <v>1142.1030524170535</v>
      </c>
      <c r="AK172" s="812">
        <v>1189.1853336107606</v>
      </c>
      <c r="AL172" s="812">
        <v>1244.2285179474995</v>
      </c>
      <c r="AM172" s="812">
        <v>1375.6792257701318</v>
      </c>
      <c r="AN172" s="812">
        <v>1531.062568425773</v>
      </c>
      <c r="AO172" s="812">
        <v>1568.0987530948516</v>
      </c>
    </row>
    <row r="173" spans="27:45" x14ac:dyDescent="0.2">
      <c r="AA173" t="s">
        <v>1089</v>
      </c>
      <c r="AC173" s="812"/>
      <c r="AD173" s="812">
        <v>842.93565865249593</v>
      </c>
      <c r="AE173" s="812">
        <v>866.94003026024723</v>
      </c>
      <c r="AF173" s="812">
        <v>910.58737262507964</v>
      </c>
      <c r="AG173" s="812">
        <v>970.86570441939375</v>
      </c>
      <c r="AH173" s="812">
        <v>1058.4100464634248</v>
      </c>
      <c r="AI173" s="812">
        <v>1132.7192584996053</v>
      </c>
      <c r="AJ173" s="812">
        <v>1221.995295023821</v>
      </c>
      <c r="AK173" s="812">
        <v>1269.2610243175125</v>
      </c>
      <c r="AL173" s="812">
        <v>1324.5186757337078</v>
      </c>
      <c r="AM173" s="812">
        <v>1456.4815681338782</v>
      </c>
      <c r="AN173" s="812">
        <v>1612.4703459827081</v>
      </c>
      <c r="AO173" s="812">
        <v>1649.6508353731083</v>
      </c>
    </row>
    <row r="174" spans="27:45" x14ac:dyDescent="0.2">
      <c r="AA174" t="s">
        <v>1128</v>
      </c>
      <c r="AC174" s="812"/>
      <c r="AD174" s="812"/>
      <c r="AE174" s="812">
        <v>936.11614822355114</v>
      </c>
      <c r="AF174" s="812">
        <v>979.91196412448892</v>
      </c>
      <c r="AG174" s="812">
        <v>1040.3953401136366</v>
      </c>
      <c r="AH174" s="812">
        <v>1128.2374750744805</v>
      </c>
      <c r="AI174" s="812">
        <v>1202.7994603407117</v>
      </c>
      <c r="AJ174" s="812">
        <v>1292.3791823169095</v>
      </c>
      <c r="AK174" s="812">
        <v>1339.8056938238751</v>
      </c>
      <c r="AL174" s="812">
        <v>1395.2513105157147</v>
      </c>
      <c r="AM174" s="812">
        <v>1527.6630926221721</v>
      </c>
      <c r="AN174" s="812">
        <v>1684.1824866547936</v>
      </c>
      <c r="AO174" s="812">
        <v>1721.4894518407325</v>
      </c>
    </row>
    <row r="176" spans="27:45" x14ac:dyDescent="0.2">
      <c r="AA176" t="s">
        <v>1096</v>
      </c>
      <c r="AB176" s="812">
        <v>349.63987097485074</v>
      </c>
      <c r="AC176" s="812">
        <v>366.78112632601665</v>
      </c>
      <c r="AD176" s="812">
        <v>382.92945119194997</v>
      </c>
      <c r="AE176" s="812">
        <v>406.63323312936467</v>
      </c>
      <c r="AF176" s="812">
        <v>449.7340136874663</v>
      </c>
      <c r="AG176" s="812">
        <v>509.25752820597762</v>
      </c>
      <c r="AH176" s="812">
        <v>595.70561805666648</v>
      </c>
      <c r="AI176" s="812">
        <v>669.08431501842233</v>
      </c>
      <c r="AJ176" s="812">
        <v>757.24241608106684</v>
      </c>
      <c r="AK176" s="812">
        <v>803.91627340212767</v>
      </c>
      <c r="AL176" s="812">
        <v>858.48197655929869</v>
      </c>
      <c r="AM176" s="812">
        <v>988.79240095219689</v>
      </c>
      <c r="AN176" s="812">
        <v>1142.8278510875982</v>
      </c>
      <c r="AO176" s="812">
        <v>1179.5427570241636</v>
      </c>
    </row>
    <row r="177" spans="27:41" x14ac:dyDescent="0.2">
      <c r="AA177" t="s">
        <v>1098</v>
      </c>
      <c r="AB177" s="812"/>
      <c r="AC177" s="812">
        <v>466.15398691512206</v>
      </c>
      <c r="AD177" s="812">
        <v>482.20177499395362</v>
      </c>
      <c r="AE177" s="812">
        <v>505.75798423703162</v>
      </c>
      <c r="AF177" s="812">
        <v>548.59042904199407</v>
      </c>
      <c r="AG177" s="812">
        <v>607.74336324181729</v>
      </c>
      <c r="AH177" s="812">
        <v>693.6532489318588</v>
      </c>
      <c r="AI177" s="812">
        <v>766.57510766656549</v>
      </c>
      <c r="AJ177" s="812">
        <v>854.18435583561666</v>
      </c>
      <c r="AK177" s="812">
        <v>900.56763456513045</v>
      </c>
      <c r="AL177" s="812">
        <v>954.79362664114103</v>
      </c>
      <c r="AM177" s="812">
        <v>1084.2927672021117</v>
      </c>
      <c r="AN177" s="812">
        <v>1237.3692290771221</v>
      </c>
      <c r="AO177" s="812">
        <v>1273.8555554790801</v>
      </c>
    </row>
    <row r="178" spans="27:41" x14ac:dyDescent="0.2">
      <c r="AA178" t="s">
        <v>1100</v>
      </c>
      <c r="AB178" s="812"/>
      <c r="AC178" s="812">
        <v>583.92838231086091</v>
      </c>
      <c r="AD178" s="812">
        <v>599.98743971061856</v>
      </c>
      <c r="AE178" s="812">
        <v>623.56018434657722</v>
      </c>
      <c r="AF178" s="812">
        <v>666.42269838963023</v>
      </c>
      <c r="AG178" s="812">
        <v>725.61715770344938</v>
      </c>
      <c r="AH178" s="812">
        <v>811.58735353937698</v>
      </c>
      <c r="AI178" s="812">
        <v>884.56040130828478</v>
      </c>
      <c r="AJ178" s="812">
        <v>972.23115351483534</v>
      </c>
      <c r="AK178" s="812">
        <v>1018.6469906837409</v>
      </c>
      <c r="AL178" s="812">
        <v>1072.9110494782749</v>
      </c>
      <c r="AM178" s="812">
        <v>1202.5010953958288</v>
      </c>
      <c r="AN178" s="812">
        <v>1355.6850173050277</v>
      </c>
      <c r="AO178" s="812">
        <v>1392.1969619610568</v>
      </c>
    </row>
    <row r="179" spans="27:41" x14ac:dyDescent="0.2">
      <c r="AA179" t="s">
        <v>1130</v>
      </c>
      <c r="AD179" s="812">
        <v>717.77310442728344</v>
      </c>
      <c r="AE179" s="812">
        <v>741.36238445612275</v>
      </c>
      <c r="AF179" s="812">
        <v>784.25496773726638</v>
      </c>
      <c r="AG179" s="812">
        <v>843.49095216508147</v>
      </c>
      <c r="AH179" s="812">
        <v>929.52145814689516</v>
      </c>
      <c r="AI179" s="812">
        <v>1002.5456949500041</v>
      </c>
      <c r="AJ179" s="812">
        <v>1090.2779511940539</v>
      </c>
      <c r="AK179" s="812">
        <v>1136.7263468023514</v>
      </c>
      <c r="AL179" s="812">
        <v>1191.0284723154086</v>
      </c>
      <c r="AM179" s="812">
        <v>1320.7094235895458</v>
      </c>
      <c r="AN179" s="812">
        <v>1474.0008055329333</v>
      </c>
      <c r="AO179" s="812">
        <v>1510.5383684430335</v>
      </c>
    </row>
  </sheetData>
  <sheetProtection algorithmName="SHA-512" hashValue="P6E8a5MVv3xOY22C1HFjgvLsuZVR4u+g2RYDePo+mdPx11+yT67FdIde/TKMkNk9C1eDAGVHy2XtgL0+kXyPiw==" saltValue="TnPZRHxj9kfQwrVcwzcwp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85FBE-F29F-4F0F-814F-DD7C9D607868}">
  <sheetPr codeName="Sheet9"/>
  <dimension ref="A1:C103"/>
  <sheetViews>
    <sheetView topLeftCell="A53" workbookViewId="0">
      <selection activeCell="C79" sqref="C79"/>
    </sheetView>
  </sheetViews>
  <sheetFormatPr defaultRowHeight="12.75" x14ac:dyDescent="0.2"/>
  <cols>
    <col min="1" max="1" width="17" bestFit="1" customWidth="1"/>
    <col min="2" max="2" width="118.140625" customWidth="1"/>
    <col min="3" max="3" width="19.7109375" customWidth="1"/>
  </cols>
  <sheetData>
    <row r="1" spans="1:3" s="367" customFormat="1" ht="16.5" customHeight="1" x14ac:dyDescent="0.2">
      <c r="A1" s="599" t="s">
        <v>1149</v>
      </c>
      <c r="B1" s="600" t="s">
        <v>1150</v>
      </c>
      <c r="C1" s="600" t="s">
        <v>1151</v>
      </c>
    </row>
    <row r="2" spans="1:3" ht="16.5" customHeight="1" x14ac:dyDescent="0.2">
      <c r="A2" s="956">
        <v>44733</v>
      </c>
      <c r="B2" s="601" t="s">
        <v>1152</v>
      </c>
      <c r="C2" s="950" t="s">
        <v>1153</v>
      </c>
    </row>
    <row r="3" spans="1:3" ht="16.5" customHeight="1" x14ac:dyDescent="0.2">
      <c r="A3" s="956"/>
      <c r="B3" s="601" t="s">
        <v>1154</v>
      </c>
      <c r="C3" s="950"/>
    </row>
    <row r="4" spans="1:3" ht="16.5" customHeight="1" x14ac:dyDescent="0.2">
      <c r="A4" s="956"/>
      <c r="B4" s="601" t="s">
        <v>1155</v>
      </c>
      <c r="C4" s="950"/>
    </row>
    <row r="5" spans="1:3" ht="16.5" customHeight="1" x14ac:dyDescent="0.2">
      <c r="A5" s="956"/>
      <c r="B5" s="601" t="s">
        <v>1156</v>
      </c>
      <c r="C5" s="950"/>
    </row>
    <row r="6" spans="1:3" ht="16.5" customHeight="1" x14ac:dyDescent="0.2">
      <c r="A6" s="955">
        <v>44762</v>
      </c>
      <c r="B6" s="601" t="s">
        <v>1157</v>
      </c>
      <c r="C6" s="952" t="s">
        <v>1158</v>
      </c>
    </row>
    <row r="7" spans="1:3" ht="16.5" customHeight="1" x14ac:dyDescent="0.2">
      <c r="A7" s="957"/>
      <c r="B7" s="601" t="s">
        <v>1159</v>
      </c>
      <c r="C7" s="957"/>
    </row>
    <row r="8" spans="1:3" ht="16.5" customHeight="1" x14ac:dyDescent="0.2">
      <c r="A8" s="957"/>
      <c r="B8" s="601" t="s">
        <v>1160</v>
      </c>
      <c r="C8" s="957"/>
    </row>
    <row r="9" spans="1:3" ht="16.5" customHeight="1" x14ac:dyDescent="0.2">
      <c r="A9" s="955">
        <v>44763</v>
      </c>
      <c r="B9" s="601" t="s">
        <v>1161</v>
      </c>
      <c r="C9" s="950" t="s">
        <v>1153</v>
      </c>
    </row>
    <row r="10" spans="1:3" ht="16.5" customHeight="1" x14ac:dyDescent="0.2">
      <c r="A10" s="955"/>
      <c r="B10" s="601" t="s">
        <v>1162</v>
      </c>
      <c r="C10" s="950"/>
    </row>
    <row r="11" spans="1:3" ht="16.5" customHeight="1" x14ac:dyDescent="0.2">
      <c r="A11" s="955">
        <v>44791</v>
      </c>
      <c r="B11" s="601" t="s">
        <v>1163</v>
      </c>
      <c r="C11" s="950" t="s">
        <v>1158</v>
      </c>
    </row>
    <row r="12" spans="1:3" ht="16.5" customHeight="1" x14ac:dyDescent="0.2">
      <c r="A12" s="955"/>
      <c r="B12" s="601" t="s">
        <v>1164</v>
      </c>
      <c r="C12" s="950"/>
    </row>
    <row r="13" spans="1:3" ht="16.5" customHeight="1" x14ac:dyDescent="0.2">
      <c r="A13" s="955"/>
      <c r="B13" s="601" t="s">
        <v>1165</v>
      </c>
      <c r="C13" s="950"/>
    </row>
    <row r="14" spans="1:3" ht="16.5" customHeight="1" x14ac:dyDescent="0.2">
      <c r="A14" s="955"/>
      <c r="B14" s="601" t="s">
        <v>1166</v>
      </c>
      <c r="C14" s="950"/>
    </row>
    <row r="15" spans="1:3" ht="16.5" customHeight="1" x14ac:dyDescent="0.2">
      <c r="A15" s="953">
        <v>44809</v>
      </c>
      <c r="B15" s="601" t="s">
        <v>1167</v>
      </c>
      <c r="C15" s="950" t="s">
        <v>1158</v>
      </c>
    </row>
    <row r="16" spans="1:3" ht="16.5" customHeight="1" x14ac:dyDescent="0.2">
      <c r="A16" s="953"/>
      <c r="B16" s="601" t="s">
        <v>1168</v>
      </c>
      <c r="C16" s="950"/>
    </row>
    <row r="17" spans="1:3" ht="16.5" customHeight="1" x14ac:dyDescent="0.2">
      <c r="A17" s="662">
        <v>44827</v>
      </c>
      <c r="B17" s="601" t="s">
        <v>1169</v>
      </c>
      <c r="C17" s="661" t="s">
        <v>1158</v>
      </c>
    </row>
    <row r="18" spans="1:3" ht="16.5" customHeight="1" x14ac:dyDescent="0.2">
      <c r="A18" s="662">
        <v>44847</v>
      </c>
      <c r="B18" s="601" t="s">
        <v>1170</v>
      </c>
      <c r="C18" s="661" t="s">
        <v>1158</v>
      </c>
    </row>
    <row r="19" spans="1:3" ht="16.5" customHeight="1" x14ac:dyDescent="0.2">
      <c r="A19" s="662">
        <v>44852</v>
      </c>
      <c r="B19" s="601" t="s">
        <v>1171</v>
      </c>
      <c r="C19" s="661" t="s">
        <v>1158</v>
      </c>
    </row>
    <row r="20" spans="1:3" ht="16.5" customHeight="1" x14ac:dyDescent="0.2">
      <c r="A20" s="953">
        <v>44869</v>
      </c>
      <c r="B20" s="601" t="s">
        <v>1172</v>
      </c>
      <c r="C20" s="950" t="s">
        <v>1158</v>
      </c>
    </row>
    <row r="21" spans="1:3" ht="16.5" customHeight="1" x14ac:dyDescent="0.2">
      <c r="A21" s="953"/>
      <c r="B21" s="601" t="s">
        <v>1173</v>
      </c>
      <c r="C21" s="950"/>
    </row>
    <row r="22" spans="1:3" ht="16.5" customHeight="1" x14ac:dyDescent="0.2">
      <c r="A22" s="953">
        <v>44896</v>
      </c>
      <c r="B22" s="601" t="s">
        <v>1174</v>
      </c>
      <c r="C22" s="950" t="s">
        <v>1158</v>
      </c>
    </row>
    <row r="23" spans="1:3" ht="16.5" customHeight="1" x14ac:dyDescent="0.2">
      <c r="A23" s="953"/>
      <c r="B23" s="601" t="s">
        <v>1175</v>
      </c>
      <c r="C23" s="950"/>
    </row>
    <row r="24" spans="1:3" ht="16.5" customHeight="1" x14ac:dyDescent="0.2">
      <c r="A24" s="953">
        <v>44918</v>
      </c>
      <c r="B24" s="601" t="s">
        <v>1176</v>
      </c>
      <c r="C24" s="950" t="s">
        <v>1158</v>
      </c>
    </row>
    <row r="25" spans="1:3" ht="16.5" customHeight="1" x14ac:dyDescent="0.2">
      <c r="A25" s="953"/>
      <c r="B25" s="601" t="s">
        <v>1177</v>
      </c>
      <c r="C25" s="950"/>
    </row>
    <row r="26" spans="1:3" x14ac:dyDescent="0.2">
      <c r="A26" s="953"/>
      <c r="B26" s="601" t="s">
        <v>1178</v>
      </c>
      <c r="C26" s="950"/>
    </row>
    <row r="27" spans="1:3" x14ac:dyDescent="0.2">
      <c r="A27" s="953"/>
      <c r="B27" s="601" t="s">
        <v>1179</v>
      </c>
      <c r="C27" s="950"/>
    </row>
    <row r="28" spans="1:3" x14ac:dyDescent="0.2">
      <c r="A28" s="953"/>
      <c r="B28" s="601" t="s">
        <v>1180</v>
      </c>
      <c r="C28" s="950"/>
    </row>
    <row r="29" spans="1:3" x14ac:dyDescent="0.2">
      <c r="A29" s="953">
        <v>44979</v>
      </c>
      <c r="B29" s="601" t="s">
        <v>1423</v>
      </c>
      <c r="C29" s="950" t="s">
        <v>1158</v>
      </c>
    </row>
    <row r="30" spans="1:3" x14ac:dyDescent="0.2">
      <c r="A30" s="953"/>
      <c r="B30" s="601" t="s">
        <v>1424</v>
      </c>
      <c r="C30" s="950"/>
    </row>
    <row r="31" spans="1:3" x14ac:dyDescent="0.2">
      <c r="A31" s="953"/>
      <c r="B31" s="601" t="s">
        <v>1425</v>
      </c>
      <c r="C31" s="950"/>
    </row>
    <row r="32" spans="1:3" x14ac:dyDescent="0.2">
      <c r="A32" s="953"/>
      <c r="B32" s="954" t="s">
        <v>1426</v>
      </c>
      <c r="C32" s="950"/>
    </row>
    <row r="33" spans="1:3" x14ac:dyDescent="0.2">
      <c r="A33" s="953"/>
      <c r="B33" s="954"/>
      <c r="C33" s="950"/>
    </row>
    <row r="34" spans="1:3" x14ac:dyDescent="0.2">
      <c r="A34" s="953">
        <v>45008</v>
      </c>
      <c r="B34" s="601" t="s">
        <v>1432</v>
      </c>
      <c r="C34" s="950" t="s">
        <v>1158</v>
      </c>
    </row>
    <row r="35" spans="1:3" x14ac:dyDescent="0.2">
      <c r="A35" s="953"/>
      <c r="B35" s="601" t="s">
        <v>1433</v>
      </c>
      <c r="C35" s="950"/>
    </row>
    <row r="36" spans="1:3" x14ac:dyDescent="0.2">
      <c r="A36" s="953"/>
      <c r="B36" s="954" t="s">
        <v>1434</v>
      </c>
      <c r="C36" s="950"/>
    </row>
    <row r="37" spans="1:3" x14ac:dyDescent="0.2">
      <c r="A37" s="953"/>
      <c r="B37" s="954"/>
      <c r="C37" s="950"/>
    </row>
    <row r="38" spans="1:3" x14ac:dyDescent="0.2">
      <c r="A38" s="953"/>
      <c r="B38" s="954"/>
      <c r="C38" s="950"/>
    </row>
    <row r="39" spans="1:3" x14ac:dyDescent="0.2">
      <c r="A39" s="949">
        <v>45049</v>
      </c>
      <c r="B39" s="665" t="s">
        <v>1435</v>
      </c>
      <c r="C39" s="950" t="s">
        <v>1158</v>
      </c>
    </row>
    <row r="40" spans="1:3" x14ac:dyDescent="0.2">
      <c r="A40" s="949"/>
      <c r="B40" s="601" t="s">
        <v>1436</v>
      </c>
      <c r="C40" s="950"/>
    </row>
    <row r="41" spans="1:3" x14ac:dyDescent="0.2">
      <c r="A41" s="949">
        <v>45070</v>
      </c>
      <c r="B41" s="601" t="s">
        <v>1437</v>
      </c>
      <c r="C41" s="950" t="s">
        <v>1158</v>
      </c>
    </row>
    <row r="42" spans="1:3" x14ac:dyDescent="0.2">
      <c r="A42" s="949"/>
      <c r="B42" s="601" t="s">
        <v>1438</v>
      </c>
      <c r="C42" s="950"/>
    </row>
    <row r="43" spans="1:3" x14ac:dyDescent="0.2">
      <c r="A43" s="949">
        <v>45100</v>
      </c>
      <c r="B43" s="601" t="s">
        <v>1442</v>
      </c>
      <c r="C43" s="950" t="s">
        <v>1158</v>
      </c>
    </row>
    <row r="44" spans="1:3" x14ac:dyDescent="0.2">
      <c r="A44" s="949"/>
      <c r="B44" s="601" t="s">
        <v>1443</v>
      </c>
      <c r="C44" s="950"/>
    </row>
    <row r="45" spans="1:3" x14ac:dyDescent="0.2">
      <c r="A45" s="949"/>
      <c r="B45" s="601" t="s">
        <v>1444</v>
      </c>
      <c r="C45" s="950"/>
    </row>
    <row r="46" spans="1:3" x14ac:dyDescent="0.2">
      <c r="A46" s="949"/>
      <c r="B46" s="601" t="s">
        <v>1445</v>
      </c>
      <c r="C46" s="950"/>
    </row>
    <row r="47" spans="1:3" x14ac:dyDescent="0.2">
      <c r="A47" s="949"/>
      <c r="B47" s="601" t="s">
        <v>1446</v>
      </c>
      <c r="C47" s="950"/>
    </row>
    <row r="48" spans="1:3" x14ac:dyDescent="0.2">
      <c r="A48" s="949"/>
      <c r="B48" s="601" t="s">
        <v>1447</v>
      </c>
      <c r="C48" s="950"/>
    </row>
    <row r="49" spans="1:3" x14ac:dyDescent="0.2">
      <c r="A49" s="949"/>
      <c r="B49" s="601" t="s">
        <v>1448</v>
      </c>
      <c r="C49" s="950"/>
    </row>
    <row r="50" spans="1:3" x14ac:dyDescent="0.2">
      <c r="A50" s="666">
        <v>45142</v>
      </c>
      <c r="B50" s="601" t="s">
        <v>1449</v>
      </c>
      <c r="C50" s="667" t="s">
        <v>1158</v>
      </c>
    </row>
    <row r="51" spans="1:3" x14ac:dyDescent="0.2">
      <c r="A51" s="949">
        <v>45170</v>
      </c>
      <c r="B51" s="601" t="s">
        <v>1451</v>
      </c>
      <c r="C51" s="952" t="s">
        <v>1158</v>
      </c>
    </row>
    <row r="52" spans="1:3" x14ac:dyDescent="0.2">
      <c r="A52" s="949"/>
      <c r="B52" s="601" t="s">
        <v>1452</v>
      </c>
      <c r="C52" s="952"/>
    </row>
    <row r="53" spans="1:3" x14ac:dyDescent="0.2">
      <c r="A53" s="949">
        <v>45252</v>
      </c>
      <c r="B53" s="601" t="s">
        <v>1457</v>
      </c>
      <c r="C53" s="951" t="s">
        <v>1158</v>
      </c>
    </row>
    <row r="54" spans="1:3" x14ac:dyDescent="0.2">
      <c r="A54" s="949"/>
      <c r="B54" s="601" t="s">
        <v>1458</v>
      </c>
      <c r="C54" s="951"/>
    </row>
    <row r="55" spans="1:3" x14ac:dyDescent="0.2">
      <c r="A55" s="710">
        <v>45470</v>
      </c>
      <c r="B55" s="601" t="s">
        <v>1607</v>
      </c>
      <c r="C55" t="s">
        <v>1608</v>
      </c>
    </row>
    <row r="56" spans="1:3" x14ac:dyDescent="0.2">
      <c r="A56" s="710">
        <v>45475</v>
      </c>
      <c r="B56" s="601" t="s">
        <v>1610</v>
      </c>
      <c r="C56" t="s">
        <v>1608</v>
      </c>
    </row>
    <row r="57" spans="1:3" x14ac:dyDescent="0.2">
      <c r="A57" s="710">
        <v>45511</v>
      </c>
      <c r="B57" t="s">
        <v>1611</v>
      </c>
      <c r="C57" t="s">
        <v>1608</v>
      </c>
    </row>
    <row r="58" spans="1:3" x14ac:dyDescent="0.2">
      <c r="A58" s="710">
        <v>45594</v>
      </c>
      <c r="B58" s="601" t="s">
        <v>1614</v>
      </c>
      <c r="C58" t="s">
        <v>1608</v>
      </c>
    </row>
    <row r="59" spans="1:3" x14ac:dyDescent="0.2">
      <c r="A59" s="710">
        <v>45615</v>
      </c>
      <c r="B59" s="601" t="s">
        <v>1615</v>
      </c>
      <c r="C59" t="s">
        <v>1608</v>
      </c>
    </row>
    <row r="60" spans="1:3" x14ac:dyDescent="0.2">
      <c r="A60" s="710">
        <v>45685</v>
      </c>
      <c r="B60" s="601" t="s">
        <v>1616</v>
      </c>
      <c r="C60" s="426" t="s">
        <v>1617</v>
      </c>
    </row>
    <row r="61" spans="1:3" x14ac:dyDescent="0.2">
      <c r="A61" s="710">
        <v>45709</v>
      </c>
      <c r="B61" s="601" t="s">
        <v>1618</v>
      </c>
      <c r="C61" s="426" t="s">
        <v>1608</v>
      </c>
    </row>
    <row r="62" spans="1:3" x14ac:dyDescent="0.2">
      <c r="A62" s="710">
        <v>45756</v>
      </c>
      <c r="B62" s="601" t="s">
        <v>1621</v>
      </c>
      <c r="C62" s="426" t="s">
        <v>1608</v>
      </c>
    </row>
    <row r="63" spans="1:3" x14ac:dyDescent="0.2">
      <c r="A63" s="710">
        <v>45793</v>
      </c>
      <c r="B63" s="601" t="s">
        <v>1622</v>
      </c>
      <c r="C63" s="426" t="s">
        <v>1608</v>
      </c>
    </row>
    <row r="64" spans="1:3" x14ac:dyDescent="0.2">
      <c r="A64" s="710">
        <v>45809</v>
      </c>
      <c r="B64" s="601" t="s">
        <v>1624</v>
      </c>
      <c r="C64" s="426" t="s">
        <v>1608</v>
      </c>
    </row>
    <row r="65" spans="1:3" x14ac:dyDescent="0.2">
      <c r="A65" s="710">
        <v>45833</v>
      </c>
      <c r="B65" s="601" t="s">
        <v>1658</v>
      </c>
      <c r="C65" s="426" t="s">
        <v>1608</v>
      </c>
    </row>
    <row r="66" spans="1:3" x14ac:dyDescent="0.2">
      <c r="A66" s="710">
        <v>45839</v>
      </c>
      <c r="B66" s="601" t="s">
        <v>1625</v>
      </c>
      <c r="C66" s="426" t="s">
        <v>1608</v>
      </c>
    </row>
    <row r="67" spans="1:3" ht="24" x14ac:dyDescent="0.2">
      <c r="A67" s="710">
        <v>45901</v>
      </c>
      <c r="B67" s="745" t="s">
        <v>1657</v>
      </c>
      <c r="C67" s="426" t="s">
        <v>1608</v>
      </c>
    </row>
    <row r="68" spans="1:3" x14ac:dyDescent="0.2">
      <c r="A68" s="710">
        <v>45944</v>
      </c>
      <c r="B68" s="601" t="s">
        <v>1659</v>
      </c>
      <c r="C68" s="426" t="s">
        <v>1608</v>
      </c>
    </row>
    <row r="69" spans="1:3" x14ac:dyDescent="0.2">
      <c r="A69" s="710">
        <v>45979</v>
      </c>
      <c r="B69" s="601" t="s">
        <v>1660</v>
      </c>
      <c r="C69" s="426" t="s">
        <v>1608</v>
      </c>
    </row>
    <row r="70" spans="1:3" x14ac:dyDescent="0.2">
      <c r="A70" s="710">
        <v>46009</v>
      </c>
      <c r="B70" s="601" t="s">
        <v>1666</v>
      </c>
      <c r="C70" s="426" t="s">
        <v>1667</v>
      </c>
    </row>
    <row r="71" spans="1:3" x14ac:dyDescent="0.2">
      <c r="A71" s="710">
        <v>46055</v>
      </c>
      <c r="B71" s="601" t="s">
        <v>1669</v>
      </c>
      <c r="C71" s="426" t="s">
        <v>1608</v>
      </c>
    </row>
    <row r="72" spans="1:3" x14ac:dyDescent="0.2">
      <c r="A72" s="710">
        <v>46066</v>
      </c>
      <c r="B72" s="601" t="s">
        <v>1670</v>
      </c>
      <c r="C72" s="426" t="s">
        <v>1608</v>
      </c>
    </row>
    <row r="73" spans="1:3" x14ac:dyDescent="0.2">
      <c r="A73" s="710">
        <v>46069</v>
      </c>
      <c r="B73" s="601" t="s">
        <v>1671</v>
      </c>
      <c r="C73" s="426" t="s">
        <v>1608</v>
      </c>
    </row>
    <row r="74" spans="1:3" x14ac:dyDescent="0.2">
      <c r="A74" s="710">
        <v>46094</v>
      </c>
      <c r="B74" s="601" t="s">
        <v>1737</v>
      </c>
      <c r="C74" s="426" t="s">
        <v>1608</v>
      </c>
    </row>
    <row r="75" spans="1:3" x14ac:dyDescent="0.2">
      <c r="A75" s="710">
        <v>46113</v>
      </c>
      <c r="B75" s="601" t="s">
        <v>1738</v>
      </c>
      <c r="C75" s="426" t="s">
        <v>1608</v>
      </c>
    </row>
    <row r="76" spans="1:3" x14ac:dyDescent="0.2">
      <c r="A76" s="710">
        <v>46129</v>
      </c>
      <c r="B76" s="601" t="s">
        <v>1739</v>
      </c>
      <c r="C76" s="426" t="s">
        <v>1608</v>
      </c>
    </row>
    <row r="77" spans="1:3" x14ac:dyDescent="0.2">
      <c r="A77" s="710">
        <v>46150</v>
      </c>
      <c r="B77" s="601" t="s">
        <v>1739</v>
      </c>
      <c r="C77" s="426" t="s">
        <v>1740</v>
      </c>
    </row>
    <row r="78" spans="1:3" x14ac:dyDescent="0.2">
      <c r="A78" s="710">
        <v>46174</v>
      </c>
      <c r="B78" s="601" t="s">
        <v>1741</v>
      </c>
      <c r="C78" s="426" t="s">
        <v>1740</v>
      </c>
    </row>
    <row r="79" spans="1:3" x14ac:dyDescent="0.2">
      <c r="A79" s="710">
        <v>46213</v>
      </c>
      <c r="B79" s="601" t="s">
        <v>1745</v>
      </c>
      <c r="C79" s="426" t="s">
        <v>1740</v>
      </c>
    </row>
    <row r="80" spans="1:3" x14ac:dyDescent="0.2">
      <c r="A80" s="710"/>
    </row>
    <row r="81" spans="1:1" x14ac:dyDescent="0.2">
      <c r="A81" s="710"/>
    </row>
    <row r="82" spans="1:1" x14ac:dyDescent="0.2">
      <c r="A82" s="710"/>
    </row>
    <row r="83" spans="1:1" x14ac:dyDescent="0.2">
      <c r="A83" s="710"/>
    </row>
    <row r="84" spans="1:1" x14ac:dyDescent="0.2">
      <c r="A84" s="710"/>
    </row>
    <row r="85" spans="1:1" x14ac:dyDescent="0.2">
      <c r="A85" s="710"/>
    </row>
    <row r="86" spans="1:1" x14ac:dyDescent="0.2">
      <c r="A86" s="710"/>
    </row>
    <row r="87" spans="1:1" x14ac:dyDescent="0.2">
      <c r="A87" s="710"/>
    </row>
    <row r="88" spans="1:1" x14ac:dyDescent="0.2">
      <c r="A88" s="710"/>
    </row>
    <row r="89" spans="1:1" x14ac:dyDescent="0.2">
      <c r="A89" s="710"/>
    </row>
    <row r="90" spans="1:1" x14ac:dyDescent="0.2">
      <c r="A90" s="710"/>
    </row>
    <row r="91" spans="1:1" x14ac:dyDescent="0.2">
      <c r="A91" s="710"/>
    </row>
    <row r="92" spans="1:1" x14ac:dyDescent="0.2">
      <c r="A92" s="710"/>
    </row>
    <row r="93" spans="1:1" x14ac:dyDescent="0.2">
      <c r="A93" s="710"/>
    </row>
    <row r="94" spans="1:1" x14ac:dyDescent="0.2">
      <c r="A94" s="710"/>
    </row>
    <row r="95" spans="1:1" x14ac:dyDescent="0.2">
      <c r="A95" s="710"/>
    </row>
    <row r="96" spans="1:1" x14ac:dyDescent="0.2">
      <c r="A96" s="710"/>
    </row>
    <row r="97" spans="1:1" x14ac:dyDescent="0.2">
      <c r="A97" s="710"/>
    </row>
    <row r="98" spans="1:1" x14ac:dyDescent="0.2">
      <c r="A98" s="710"/>
    </row>
    <row r="99" spans="1:1" x14ac:dyDescent="0.2">
      <c r="A99" s="710"/>
    </row>
    <row r="100" spans="1:1" x14ac:dyDescent="0.2">
      <c r="A100" s="710"/>
    </row>
    <row r="101" spans="1:1" x14ac:dyDescent="0.2">
      <c r="A101" s="710"/>
    </row>
    <row r="102" spans="1:1" x14ac:dyDescent="0.2">
      <c r="A102" s="710"/>
    </row>
    <row r="103" spans="1:1" x14ac:dyDescent="0.2">
      <c r="A103" s="710"/>
    </row>
  </sheetData>
  <mergeCells count="32">
    <mergeCell ref="A11:A14"/>
    <mergeCell ref="C11:C14"/>
    <mergeCell ref="A2:A5"/>
    <mergeCell ref="C2:C5"/>
    <mergeCell ref="A6:A8"/>
    <mergeCell ref="C6:C8"/>
    <mergeCell ref="C9:C10"/>
    <mergeCell ref="A9:A10"/>
    <mergeCell ref="A15:A16"/>
    <mergeCell ref="C15:C16"/>
    <mergeCell ref="A22:A23"/>
    <mergeCell ref="C22:C23"/>
    <mergeCell ref="A34:A38"/>
    <mergeCell ref="B36:B38"/>
    <mergeCell ref="C34:C38"/>
    <mergeCell ref="A29:A33"/>
    <mergeCell ref="B32:B33"/>
    <mergeCell ref="C29:C33"/>
    <mergeCell ref="A24:A28"/>
    <mergeCell ref="C24:C28"/>
    <mergeCell ref="A20:A21"/>
    <mergeCell ref="C20:C21"/>
    <mergeCell ref="A41:A42"/>
    <mergeCell ref="C41:C42"/>
    <mergeCell ref="A39:A40"/>
    <mergeCell ref="C39:C40"/>
    <mergeCell ref="A53:A54"/>
    <mergeCell ref="C53:C54"/>
    <mergeCell ref="C51:C52"/>
    <mergeCell ref="A51:A52"/>
    <mergeCell ref="A43:A49"/>
    <mergeCell ref="C43:C49"/>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M39"/>
  <sheetViews>
    <sheetView workbookViewId="0">
      <selection activeCell="B20" sqref="B20"/>
    </sheetView>
  </sheetViews>
  <sheetFormatPr defaultColWidth="9.140625" defaultRowHeight="12.75" x14ac:dyDescent="0.2"/>
  <cols>
    <col min="1" max="1" width="44.42578125" style="119" bestFit="1" customWidth="1"/>
    <col min="2" max="2" width="10.7109375" style="41" customWidth="1"/>
    <col min="3" max="3" width="10.7109375" style="112" customWidth="1"/>
    <col min="4" max="4" width="10.7109375" style="120" customWidth="1"/>
    <col min="5" max="5" width="12.85546875" style="41" customWidth="1"/>
    <col min="6" max="8" width="10.7109375" style="41" customWidth="1"/>
    <col min="9" max="9" width="13.5703125" style="41" customWidth="1"/>
    <col min="10" max="10" width="10.7109375" style="41" customWidth="1"/>
    <col min="11" max="16384" width="9.140625" style="41"/>
  </cols>
  <sheetData>
    <row r="1" spans="1:13" ht="21" x14ac:dyDescent="0.35">
      <c r="A1" s="153" t="s">
        <v>208</v>
      </c>
      <c r="B1" s="152"/>
      <c r="C1" s="152"/>
      <c r="D1" s="152"/>
      <c r="E1" s="160">
        <f ca="1">+NOW()</f>
        <v>46210.693019444443</v>
      </c>
      <c r="F1" s="160"/>
      <c r="G1" s="160"/>
      <c r="H1" s="160"/>
      <c r="I1" s="160"/>
      <c r="J1" s="365"/>
    </row>
    <row r="2" spans="1:13" ht="15" customHeight="1" x14ac:dyDescent="0.35">
      <c r="A2" s="154"/>
      <c r="B2" s="155"/>
      <c r="C2" s="156"/>
      <c r="D2" s="157"/>
      <c r="E2" s="158"/>
      <c r="F2" s="158"/>
      <c r="G2" s="158"/>
      <c r="H2" s="158"/>
      <c r="I2" s="158"/>
      <c r="J2" s="158"/>
    </row>
    <row r="3" spans="1:13" ht="13.5" thickBot="1" x14ac:dyDescent="0.25">
      <c r="A3" s="119" t="s">
        <v>352</v>
      </c>
      <c r="B3" s="119">
        <f>+Worksheet!C8</f>
        <v>0</v>
      </c>
      <c r="C3" s="958">
        <f>+Worksheet!B4</f>
        <v>0</v>
      </c>
      <c r="D3" s="959"/>
      <c r="E3" s="159"/>
      <c r="F3" s="159"/>
      <c r="G3" s="159"/>
      <c r="H3" s="159"/>
      <c r="I3" s="159"/>
      <c r="J3" s="159"/>
    </row>
    <row r="4" spans="1:13" ht="15" x14ac:dyDescent="0.25">
      <c r="A4" s="649" t="s">
        <v>353</v>
      </c>
      <c r="B4" s="960" t="s">
        <v>354</v>
      </c>
      <c r="C4" s="961"/>
      <c r="D4" s="961"/>
      <c r="E4" s="961"/>
      <c r="F4" s="960" t="s">
        <v>355</v>
      </c>
      <c r="G4" s="961"/>
      <c r="H4" s="961"/>
      <c r="I4" s="962"/>
      <c r="L4" s="121" t="s">
        <v>356</v>
      </c>
      <c r="M4" s="122"/>
    </row>
    <row r="5" spans="1:13" ht="15" x14ac:dyDescent="0.25">
      <c r="A5" s="972" t="s">
        <v>357</v>
      </c>
      <c r="B5" s="615" t="s">
        <v>358</v>
      </c>
      <c r="C5" s="616" t="s">
        <v>359</v>
      </c>
      <c r="D5" s="617" t="s">
        <v>360</v>
      </c>
      <c r="E5" s="618">
        <f>D6</f>
        <v>1</v>
      </c>
      <c r="F5" s="615" t="s">
        <v>358</v>
      </c>
      <c r="G5" s="616" t="s">
        <v>359</v>
      </c>
      <c r="H5" s="619" t="s">
        <v>360</v>
      </c>
      <c r="I5" s="620">
        <f>H6</f>
        <v>1</v>
      </c>
      <c r="J5" s="380"/>
      <c r="L5" s="123" t="s">
        <v>209</v>
      </c>
      <c r="M5" s="124" t="s">
        <v>210</v>
      </c>
    </row>
    <row r="6" spans="1:13" ht="20.100000000000001" customHeight="1" x14ac:dyDescent="0.2">
      <c r="A6" s="973"/>
      <c r="B6" s="621">
        <v>1</v>
      </c>
      <c r="C6" s="622" t="s">
        <v>212</v>
      </c>
      <c r="D6" s="623">
        <f t="shared" ref="D6" si="0">+IF(C6="",B6*0,IF(C6="A",B6/12,IF(C6="H",B6/6,IF(C6="Q",B6/3,IF(C6="M",B6,IF(C6="B",B6*2,IF(C6="F",B6*26/12,IF(C6="W",B6*52/12))))))))*E6</f>
        <v>1</v>
      </c>
      <c r="E6" s="624">
        <f t="shared" ref="E6" si="1">+IF(B6&gt;0,IF(C6="","error",1))</f>
        <v>1</v>
      </c>
      <c r="F6" s="621">
        <v>1</v>
      </c>
      <c r="G6" s="622" t="s">
        <v>212</v>
      </c>
      <c r="H6" s="623">
        <f t="shared" ref="H6" si="2">+IF(G6="",F6*0,IF(G6="A",F6/12,IF(G6="H",F6/6,IF(G6="Q",F6/3,IF(G6="M",F6,IF(G6="B",F6*2,IF(G6="F",F6*26/12,IF(G6="W",F6*52/12))))))))*I6</f>
        <v>1</v>
      </c>
      <c r="I6" s="625">
        <f t="shared" ref="I6" si="3">+IF(F6&gt;0,IF(G6="","error",1))</f>
        <v>1</v>
      </c>
      <c r="J6" s="130"/>
      <c r="L6" s="123" t="s">
        <v>213</v>
      </c>
      <c r="M6" s="124" t="s">
        <v>214</v>
      </c>
    </row>
    <row r="7" spans="1:13" ht="15" x14ac:dyDescent="0.25">
      <c r="A7" s="972" t="s">
        <v>361</v>
      </c>
      <c r="B7" s="615" t="s">
        <v>358</v>
      </c>
      <c r="C7" s="626" t="s">
        <v>359</v>
      </c>
      <c r="D7" s="619" t="s">
        <v>360</v>
      </c>
      <c r="E7" s="618">
        <f>D8</f>
        <v>0</v>
      </c>
      <c r="F7" s="627" t="s">
        <v>358</v>
      </c>
      <c r="G7" s="628" t="s">
        <v>359</v>
      </c>
      <c r="H7" s="619" t="s">
        <v>360</v>
      </c>
      <c r="I7" s="620">
        <f>H8</f>
        <v>0</v>
      </c>
      <c r="J7" s="380"/>
      <c r="L7" s="123" t="s">
        <v>217</v>
      </c>
      <c r="M7" s="124" t="s">
        <v>218</v>
      </c>
    </row>
    <row r="8" spans="1:13" ht="20.100000000000001" customHeight="1" x14ac:dyDescent="0.2">
      <c r="A8" s="973"/>
      <c r="B8" s="629"/>
      <c r="C8" s="630" t="s">
        <v>212</v>
      </c>
      <c r="D8" s="631">
        <f>+IF(C8="",B8*0,IF(C8="A",B8/12,IF(C8="H",B8/6,IF(C8="Q",B8/3,IF(C8="M",B8,IF(C8="B",B8*2,IF(C8="F",B8*26/12,IF(C8="W",B8*52/12))))))))*E8</f>
        <v>0</v>
      </c>
      <c r="E8" s="624" t="b">
        <f t="shared" ref="E8" si="4">+IF(B8&gt;0,IF(C8="","error",1))</f>
        <v>0</v>
      </c>
      <c r="F8" s="632"/>
      <c r="G8" s="633" t="s">
        <v>212</v>
      </c>
      <c r="H8" s="634">
        <f>+IF(G8="",F8*0,IF(G8="A",F8/12,IF(G8="H",F8/6,IF(G8="Q",F8/3,IF(G8="M",F8,IF(G8="B",F8*2,IF(G8="F",F8*26/12,IF(G8="W",F8*52/12))))))))*I8</f>
        <v>0</v>
      </c>
      <c r="I8" s="625" t="b">
        <f t="shared" ref="I8" si="5">+IF(F8&gt;0,IF(G8="","error",1))</f>
        <v>0</v>
      </c>
      <c r="J8" s="130"/>
      <c r="L8" s="123" t="s">
        <v>360</v>
      </c>
      <c r="M8" s="124" t="s">
        <v>212</v>
      </c>
    </row>
    <row r="9" spans="1:13" ht="15" x14ac:dyDescent="0.25">
      <c r="A9" s="972" t="s">
        <v>362</v>
      </c>
      <c r="B9" s="615" t="s">
        <v>358</v>
      </c>
      <c r="C9" s="626" t="s">
        <v>359</v>
      </c>
      <c r="D9" s="619" t="s">
        <v>360</v>
      </c>
      <c r="E9" s="618">
        <f>D10</f>
        <v>0</v>
      </c>
      <c r="F9" s="615" t="s">
        <v>358</v>
      </c>
      <c r="G9" s="616" t="s">
        <v>359</v>
      </c>
      <c r="H9" s="619" t="s">
        <v>360</v>
      </c>
      <c r="I9" s="620">
        <f>H10</f>
        <v>0</v>
      </c>
      <c r="J9" s="380"/>
      <c r="L9" s="123" t="s">
        <v>363</v>
      </c>
      <c r="M9" s="124" t="s">
        <v>216</v>
      </c>
    </row>
    <row r="10" spans="1:13" ht="20.100000000000001" customHeight="1" x14ac:dyDescent="0.2">
      <c r="A10" s="973"/>
      <c r="B10" s="629"/>
      <c r="C10" s="630" t="s">
        <v>212</v>
      </c>
      <c r="D10" s="631">
        <f>+IF(C10="",B10*0,IF(C10="A",B10/12,IF(C10="H",B10/6,IF(C10="Q",B10/3,IF(C10="M",B10,IF(C10="B",B10*2,IF(C10="F",B10*26/12,IF(C10="W",B10*52/12))))))))*E10</f>
        <v>0</v>
      </c>
      <c r="E10" s="624" t="b">
        <f t="shared" ref="E10" si="6">+IF(B10&gt;0,IF(C10="","error",1))</f>
        <v>0</v>
      </c>
      <c r="F10" s="629"/>
      <c r="G10" s="635" t="s">
        <v>212</v>
      </c>
      <c r="H10" s="631">
        <f>+IF(G10="",F10*0,IF(G10="A",F10/12,IF(G10="H",F10/6,IF(G10="Q",F10/3,IF(G10="M",F10,IF(G10="B",F10*2,IF(G10="F",F10*26/12,IF(G10="W",F10*52/12))))))))*I10</f>
        <v>0</v>
      </c>
      <c r="I10" s="625" t="b">
        <f t="shared" ref="I10" si="7">+IF(F10&gt;0,IF(G10="","error",1))</f>
        <v>0</v>
      </c>
      <c r="J10" s="130"/>
      <c r="L10" s="123" t="s">
        <v>364</v>
      </c>
      <c r="M10" s="124" t="s">
        <v>220</v>
      </c>
    </row>
    <row r="11" spans="1:13" ht="15.75" thickBot="1" x14ac:dyDescent="0.3">
      <c r="A11" s="974" t="s">
        <v>365</v>
      </c>
      <c r="B11" s="615" t="s">
        <v>358</v>
      </c>
      <c r="C11" s="616" t="s">
        <v>359</v>
      </c>
      <c r="D11" s="619" t="s">
        <v>360</v>
      </c>
      <c r="E11" s="618">
        <f>D12</f>
        <v>0</v>
      </c>
      <c r="F11" s="615" t="s">
        <v>358</v>
      </c>
      <c r="G11" s="616" t="s">
        <v>359</v>
      </c>
      <c r="H11" s="619" t="s">
        <v>360</v>
      </c>
      <c r="I11" s="620">
        <f>H12</f>
        <v>0</v>
      </c>
      <c r="J11" s="380"/>
      <c r="L11" s="125" t="s">
        <v>366</v>
      </c>
      <c r="M11" s="126" t="s">
        <v>222</v>
      </c>
    </row>
    <row r="12" spans="1:13" ht="20.100000000000001" customHeight="1" x14ac:dyDescent="0.2">
      <c r="A12" s="975"/>
      <c r="B12" s="629"/>
      <c r="C12" s="630" t="s">
        <v>212</v>
      </c>
      <c r="D12" s="631">
        <f>+IF(C12="",B12*0,IF(C12="A",B12/12,IF(C12="H",B12/6,IF(C12="Q",B12/3,IF(C12="M",B12,IF(C12="B",B12*2,IF(C12="F",B12*26/12,IF(C12="W",B12*52/12))))))))*E12</f>
        <v>0</v>
      </c>
      <c r="E12" s="624" t="b">
        <f t="shared" ref="E12" si="8">+IF(B12&gt;0,IF(C12="","error",1))</f>
        <v>0</v>
      </c>
      <c r="F12" s="629"/>
      <c r="G12" s="635" t="s">
        <v>212</v>
      </c>
      <c r="H12" s="631">
        <f>+IF(G12="",F12*0,IF(G12="A",F12/12,IF(G12="H",F12/6,IF(G12="Q",F12/3,IF(G12="M",F12,IF(G12="B",F12*2,IF(G12="F",F12*26/12,IF(G12="W",F12*52/12))))))))*I12</f>
        <v>0</v>
      </c>
      <c r="I12" s="625" t="b">
        <f t="shared" ref="I12" si="9">+IF(F12&gt;0,IF(G12="","error",1))</f>
        <v>0</v>
      </c>
      <c r="J12" s="130"/>
    </row>
    <row r="13" spans="1:13" ht="15" x14ac:dyDescent="0.25">
      <c r="A13" s="972" t="s">
        <v>367</v>
      </c>
      <c r="B13" s="615" t="s">
        <v>358</v>
      </c>
      <c r="C13" s="626" t="s">
        <v>359</v>
      </c>
      <c r="D13" s="619" t="s">
        <v>360</v>
      </c>
      <c r="E13" s="618">
        <f>D14</f>
        <v>0</v>
      </c>
      <c r="F13" s="615" t="s">
        <v>358</v>
      </c>
      <c r="G13" s="616" t="s">
        <v>359</v>
      </c>
      <c r="H13" s="619" t="s">
        <v>360</v>
      </c>
      <c r="I13" s="620">
        <f>H14</f>
        <v>0</v>
      </c>
      <c r="J13" s="380"/>
    </row>
    <row r="14" spans="1:13" ht="20.100000000000001" customHeight="1" x14ac:dyDescent="0.2">
      <c r="A14" s="973"/>
      <c r="B14" s="629"/>
      <c r="C14" s="636" t="s">
        <v>212</v>
      </c>
      <c r="D14" s="631">
        <f>+IF(C14="",B14*0,IF(C14="A",B14/12,IF(C14="H",B14/6,IF(C14="Q",B14/3,IF(C14="M",B14,IF(C14="B",B14*2,IF(C14="F",B14*26/12,IF(C14="W",B14*52/12))))))))*E14</f>
        <v>0</v>
      </c>
      <c r="E14" s="624" t="b">
        <f t="shared" ref="E14" si="10">+IF(B14&gt;0,IF(C14="","error",1))</f>
        <v>0</v>
      </c>
      <c r="F14" s="629"/>
      <c r="G14" s="630" t="s">
        <v>212</v>
      </c>
      <c r="H14" s="631">
        <f>+IF(G14="",F14*0,IF(G14="A",F14/12,IF(G14="H",F14/6,IF(G14="Q",F14/3,IF(G14="M",F14,IF(G14="B",F14*2,IF(G14="F",F14*26/12,IF(G14="W",F14*52/12))))))))*I14</f>
        <v>0</v>
      </c>
      <c r="I14" s="625" t="b">
        <f t="shared" ref="I14" si="11">+IF(F14&gt;0,IF(G14="","error",1))</f>
        <v>0</v>
      </c>
      <c r="J14" s="130"/>
    </row>
    <row r="15" spans="1:13" ht="14.1" customHeight="1" x14ac:dyDescent="0.25">
      <c r="A15" s="976" t="s">
        <v>368</v>
      </c>
      <c r="B15" s="615" t="s">
        <v>358</v>
      </c>
      <c r="C15" s="626" t="s">
        <v>359</v>
      </c>
      <c r="D15" s="619" t="s">
        <v>360</v>
      </c>
      <c r="E15" s="618">
        <f>D16</f>
        <v>0</v>
      </c>
      <c r="F15" s="615" t="s">
        <v>358</v>
      </c>
      <c r="G15" s="616" t="s">
        <v>359</v>
      </c>
      <c r="H15" s="619" t="s">
        <v>360</v>
      </c>
      <c r="I15" s="620">
        <f>H16</f>
        <v>0</v>
      </c>
      <c r="J15" s="380"/>
    </row>
    <row r="16" spans="1:13" ht="20.100000000000001" customHeight="1" x14ac:dyDescent="0.2">
      <c r="A16" s="977"/>
      <c r="B16" s="629"/>
      <c r="C16" s="630" t="s">
        <v>212</v>
      </c>
      <c r="D16" s="631">
        <f>+IF(C16="",B16*0,IF(C16="A",B16/12,IF(C16="H",B16/6,IF(C16="Q",B16/3,IF(C16="M",B16,IF(C16="B",B16*2,IF(C16="F",B16*26/12,IF(C16="W",B16*52/12))))))))*E16</f>
        <v>0</v>
      </c>
      <c r="E16" s="624" t="b">
        <f t="shared" ref="E16" si="12">+IF(B16&gt;0,IF(C16="","error",1))</f>
        <v>0</v>
      </c>
      <c r="F16" s="629"/>
      <c r="G16" s="635" t="s">
        <v>212</v>
      </c>
      <c r="H16" s="631">
        <f>+IF(G16="",F16*0,IF(G16="A",F16/12,IF(G16="H",F16/6,IF(G16="Q",F16/3,IF(G16="M",F16,IF(G16="B",F16*2,IF(G16="F",F16*26/12,IF(G16="W",F16*52/12))))))))*I16</f>
        <v>0</v>
      </c>
      <c r="I16" s="625" t="b">
        <f t="shared" ref="I16" si="13">+IF(F16&gt;0,IF(G16="","error",1))</f>
        <v>0</v>
      </c>
      <c r="J16" s="130"/>
    </row>
    <row r="17" spans="1:10" ht="15" x14ac:dyDescent="0.25">
      <c r="A17" s="976" t="s">
        <v>369</v>
      </c>
      <c r="B17" s="615" t="s">
        <v>358</v>
      </c>
      <c r="C17" s="626" t="s">
        <v>359</v>
      </c>
      <c r="D17" s="619" t="s">
        <v>360</v>
      </c>
      <c r="E17" s="618">
        <f>D18</f>
        <v>0</v>
      </c>
      <c r="F17" s="615" t="s">
        <v>358</v>
      </c>
      <c r="G17" s="616" t="s">
        <v>359</v>
      </c>
      <c r="H17" s="619" t="s">
        <v>360</v>
      </c>
      <c r="I17" s="620">
        <f>H18</f>
        <v>0</v>
      </c>
      <c r="J17" s="380"/>
    </row>
    <row r="18" spans="1:10" ht="20.100000000000001" customHeight="1" x14ac:dyDescent="0.2">
      <c r="A18" s="977"/>
      <c r="B18" s="629"/>
      <c r="C18" s="630" t="s">
        <v>212</v>
      </c>
      <c r="D18" s="631">
        <f>+IF(C18="",B18*0,IF(C18="A",B18/12,IF(C18="H",B18/6,IF(C18="Q",B18/3,IF(C18="M",B18,IF(C18="B",B18*2,IF(C18="F",B18*26/12,IF(C18="W",B18*52/12))))))))*E18</f>
        <v>0</v>
      </c>
      <c r="E18" s="624" t="b">
        <f t="shared" ref="E18" si="14">+IF(B18&gt;0,IF(C18="","error",1))</f>
        <v>0</v>
      </c>
      <c r="F18" s="629"/>
      <c r="G18" s="635" t="s">
        <v>212</v>
      </c>
      <c r="H18" s="631">
        <f>+IF(G18="",F18*0,IF(G18="A",F18/12,IF(G18="H",F18/6,IF(G18="Q",F18/3,IF(G18="M",F18,IF(G18="B",F18*2,IF(G18="F",F18*26/12,IF(G18="W",F18*52/12))))))))*I18</f>
        <v>0</v>
      </c>
      <c r="I18" s="625" t="b">
        <f t="shared" ref="I18" si="15">+IF(F18&gt;0,IF(G18="","error",1))</f>
        <v>0</v>
      </c>
      <c r="J18" s="130"/>
    </row>
    <row r="19" spans="1:10" ht="15" x14ac:dyDescent="0.2">
      <c r="A19" s="976" t="s">
        <v>370</v>
      </c>
      <c r="B19" s="615" t="s">
        <v>358</v>
      </c>
      <c r="C19" s="626" t="s">
        <v>359</v>
      </c>
      <c r="D19" s="619" t="s">
        <v>360</v>
      </c>
      <c r="E19" s="618">
        <f>D20</f>
        <v>0</v>
      </c>
      <c r="F19" s="615" t="s">
        <v>358</v>
      </c>
      <c r="G19" s="616" t="s">
        <v>359</v>
      </c>
      <c r="H19" s="619" t="s">
        <v>360</v>
      </c>
      <c r="I19" s="620">
        <f>H20</f>
        <v>0</v>
      </c>
      <c r="J19" s="112"/>
    </row>
    <row r="20" spans="1:10" ht="20.100000000000001" customHeight="1" x14ac:dyDescent="0.25">
      <c r="A20" s="977"/>
      <c r="B20" s="629"/>
      <c r="C20" s="630" t="s">
        <v>212</v>
      </c>
      <c r="D20" s="631">
        <f>+IF(C20="",B20*0,IF(C20="A",B20/12,IF(C20="H",B20/6,IF(C20="Q",B20/3,IF(C20="M",B20,IF(C20="B",B20*2,IF(C20="F",B20*26/12,IF(C20="W",B20*52/12))))))))*E20</f>
        <v>0</v>
      </c>
      <c r="E20" s="624" t="b">
        <f t="shared" ref="E20" si="16">+IF(B20&gt;0,IF(C20="","error",1))</f>
        <v>0</v>
      </c>
      <c r="F20" s="629"/>
      <c r="G20" s="635" t="s">
        <v>212</v>
      </c>
      <c r="H20" s="631">
        <f>+IF(G20="",F20*0,IF(G20="A",F20/12,IF(G20="H",F20/6,IF(G20="Q",F20/3,IF(G20="M",F20,IF(G20="B",F20*2,IF(G20="F",F20*26/12,IF(G20="W",F20*52/12))))))))*I20</f>
        <v>0</v>
      </c>
      <c r="I20" s="625" t="b">
        <f t="shared" ref="I20" si="17">+IF(F20&gt;0,IF(G20="","error",1))</f>
        <v>0</v>
      </c>
      <c r="J20" s="380"/>
    </row>
    <row r="21" spans="1:10" ht="15" x14ac:dyDescent="0.2">
      <c r="A21" s="976" t="s">
        <v>371</v>
      </c>
      <c r="B21" s="615" t="s">
        <v>358</v>
      </c>
      <c r="C21" s="626" t="s">
        <v>359</v>
      </c>
      <c r="D21" s="619" t="s">
        <v>360</v>
      </c>
      <c r="E21" s="618">
        <f>D22</f>
        <v>0</v>
      </c>
      <c r="F21" s="615" t="s">
        <v>358</v>
      </c>
      <c r="G21" s="616" t="s">
        <v>359</v>
      </c>
      <c r="H21" s="619" t="s">
        <v>360</v>
      </c>
      <c r="I21" s="620">
        <f>H22</f>
        <v>0</v>
      </c>
    </row>
    <row r="22" spans="1:10" ht="20.100000000000001" customHeight="1" x14ac:dyDescent="0.2">
      <c r="A22" s="977"/>
      <c r="B22" s="629"/>
      <c r="C22" s="630" t="s">
        <v>212</v>
      </c>
      <c r="D22" s="631">
        <f>+IF(C22="",B22*0,IF(C22="A",B22/12,IF(C22="H",B22/6,IF(C22="Q",B22/3,IF(C22="M",B22,IF(C22="B",B22*2,IF(C22="F",B22*26/12,IF(C22="W",B22*52/12))))))))*E22</f>
        <v>0</v>
      </c>
      <c r="E22" s="624" t="b">
        <f t="shared" ref="E22" si="18">+IF(B22&gt;0,IF(C22="","error",1))</f>
        <v>0</v>
      </c>
      <c r="F22" s="629"/>
      <c r="G22" s="635" t="s">
        <v>212</v>
      </c>
      <c r="H22" s="631">
        <f>+IF(G22="",F22*0,IF(G22="A",F22/12,IF(G22="H",F22/6,IF(G22="Q",F22/3,IF(G22="M",F22,IF(G22="B",F22*2,IF(G22="F",F22*26/12,IF(G22="W",F22*52/12))))))))*I22</f>
        <v>0</v>
      </c>
      <c r="I22" s="625" t="b">
        <f t="shared" ref="I22" si="19">+IF(F22&gt;0,IF(G22="","error",1))</f>
        <v>0</v>
      </c>
    </row>
    <row r="23" spans="1:10" ht="15" x14ac:dyDescent="0.2">
      <c r="A23" s="976" t="s">
        <v>372</v>
      </c>
      <c r="B23" s="615" t="s">
        <v>358</v>
      </c>
      <c r="C23" s="626" t="s">
        <v>359</v>
      </c>
      <c r="D23" s="619" t="s">
        <v>360</v>
      </c>
      <c r="E23" s="618">
        <f>D24</f>
        <v>0</v>
      </c>
      <c r="F23" s="615" t="s">
        <v>358</v>
      </c>
      <c r="G23" s="616" t="s">
        <v>359</v>
      </c>
      <c r="H23" s="619" t="s">
        <v>360</v>
      </c>
      <c r="I23" s="620">
        <f>H24</f>
        <v>0</v>
      </c>
    </row>
    <row r="24" spans="1:10" ht="20.100000000000001" customHeight="1" x14ac:dyDescent="0.2">
      <c r="A24" s="977"/>
      <c r="B24" s="629"/>
      <c r="C24" s="630" t="s">
        <v>212</v>
      </c>
      <c r="D24" s="631">
        <f>+IF(C24="",B24*0,IF(C24="A",B24/12,IF(C24="H",B24/6,IF(C24="Q",B24/3,IF(C24="M",B24,IF(C24="B",B24*2,IF(C24="F",B24*26/12,IF(C24="W",B24*52/12))))))))*E24</f>
        <v>0</v>
      </c>
      <c r="E24" s="624" t="b">
        <f t="shared" ref="E24" si="20">+IF(B24&gt;0,IF(C24="","error",1))</f>
        <v>0</v>
      </c>
      <c r="F24" s="629"/>
      <c r="G24" s="635" t="s">
        <v>212</v>
      </c>
      <c r="H24" s="631">
        <f>+IF(G24="",F24*0,IF(G24="A",F24/12,IF(G24="H",F24/6,IF(G24="Q",F24/3,IF(G24="M",F24,IF(G24="B",F24*2,IF(G24="F",F24*26/12,IF(G24="W",F24*52/12))))))))*I24</f>
        <v>0</v>
      </c>
      <c r="I24" s="625" t="b">
        <f t="shared" ref="I24" si="21">+IF(F24&gt;0,IF(G24="","error",1))</f>
        <v>0</v>
      </c>
    </row>
    <row r="25" spans="1:10" ht="15" x14ac:dyDescent="0.2">
      <c r="A25" s="976" t="s">
        <v>1613</v>
      </c>
      <c r="B25" s="615" t="s">
        <v>358</v>
      </c>
      <c r="C25" s="626" t="s">
        <v>359</v>
      </c>
      <c r="D25" s="619" t="s">
        <v>360</v>
      </c>
      <c r="E25" s="618">
        <f>D26</f>
        <v>0</v>
      </c>
      <c r="F25" s="615" t="s">
        <v>358</v>
      </c>
      <c r="G25" s="616" t="s">
        <v>359</v>
      </c>
      <c r="H25" s="619" t="s">
        <v>360</v>
      </c>
      <c r="I25" s="620">
        <f>H26</f>
        <v>0</v>
      </c>
    </row>
    <row r="26" spans="1:10" ht="20.100000000000001" customHeight="1" x14ac:dyDescent="0.2">
      <c r="A26" s="977"/>
      <c r="B26" s="629"/>
      <c r="C26" s="630" t="s">
        <v>212</v>
      </c>
      <c r="D26" s="631">
        <f>+IF(C26="",B26*0,IF(C26="A",B26/12,IF(C26="H",B26/6,IF(C26="Q",B26/3,IF(C26="M",B26,IF(C26="B",B26*2,IF(C26="F",B26*26/12,IF(C26="W",B26*52/12))))))))*E26</f>
        <v>0</v>
      </c>
      <c r="E26" s="624" t="b">
        <f t="shared" ref="E26" si="22">+IF(B26&gt;0,IF(C26="","error",1))</f>
        <v>0</v>
      </c>
      <c r="F26" s="629"/>
      <c r="G26" s="635" t="s">
        <v>212</v>
      </c>
      <c r="H26" s="631">
        <f>+IF(G26="",F26*0,IF(G26="A",F26/12,IF(G26="H",F26/6,IF(G26="Q",F26/3,IF(G26="M",F26,IF(G26="B",F26*2,IF(G26="F",F26*26/12,IF(G26="W",F26*52/12))))))))*I26</f>
        <v>0</v>
      </c>
      <c r="I26" s="625" t="b">
        <f t="shared" ref="I26" si="23">+IF(F26&gt;0,IF(G26="","error",1))</f>
        <v>0</v>
      </c>
    </row>
    <row r="27" spans="1:10" ht="15" x14ac:dyDescent="0.2">
      <c r="A27" s="976" t="s">
        <v>373</v>
      </c>
      <c r="B27" s="615" t="s">
        <v>358</v>
      </c>
      <c r="C27" s="626" t="s">
        <v>359</v>
      </c>
      <c r="D27" s="619" t="s">
        <v>360</v>
      </c>
      <c r="E27" s="618">
        <f>D28</f>
        <v>0</v>
      </c>
      <c r="F27" s="615" t="s">
        <v>358</v>
      </c>
      <c r="G27" s="616" t="s">
        <v>359</v>
      </c>
      <c r="H27" s="619" t="s">
        <v>360</v>
      </c>
      <c r="I27" s="620">
        <f>H28</f>
        <v>0</v>
      </c>
    </row>
    <row r="28" spans="1:10" ht="20.100000000000001" customHeight="1" x14ac:dyDescent="0.2">
      <c r="A28" s="977"/>
      <c r="B28" s="629"/>
      <c r="C28" s="630" t="s">
        <v>212</v>
      </c>
      <c r="D28" s="631">
        <f>+IF(C28="",B28*0,IF(C28="A",B28/12,IF(C28="H",B28/6,IF(C28="Q",B28/3,IF(C28="M",B28,IF(C28="B",B28*2,IF(C28="F",B28*26/12,IF(C28="W",B28*52/12))))))))*E28</f>
        <v>0</v>
      </c>
      <c r="E28" s="624" t="b">
        <f t="shared" ref="E28" si="24">+IF(B28&gt;0,IF(C28="","error",1))</f>
        <v>0</v>
      </c>
      <c r="F28" s="629"/>
      <c r="G28" s="635" t="s">
        <v>212</v>
      </c>
      <c r="H28" s="631">
        <f>+IF(G28="",F28*0,IF(G28="A",F28/12,IF(G28="H",F28/6,IF(G28="Q",F28/3,IF(G28="M",F28,IF(G28="B",F28*2,IF(G28="F",F28*26/12,IF(G28="W",F28*52/12))))))))*I28</f>
        <v>0</v>
      </c>
      <c r="I28" s="625" t="b">
        <f t="shared" ref="I28" si="25">+IF(F28&gt;0,IF(G28="","error",1))</f>
        <v>0</v>
      </c>
    </row>
    <row r="29" spans="1:10" ht="15" x14ac:dyDescent="0.2">
      <c r="A29" s="976" t="s">
        <v>374</v>
      </c>
      <c r="B29" s="615" t="s">
        <v>358</v>
      </c>
      <c r="C29" s="626" t="s">
        <v>359</v>
      </c>
      <c r="D29" s="619" t="s">
        <v>360</v>
      </c>
      <c r="E29" s="618">
        <f>D30</f>
        <v>0</v>
      </c>
      <c r="F29" s="615" t="s">
        <v>358</v>
      </c>
      <c r="G29" s="616" t="s">
        <v>359</v>
      </c>
      <c r="H29" s="619" t="s">
        <v>360</v>
      </c>
      <c r="I29" s="620">
        <f>H30</f>
        <v>0</v>
      </c>
    </row>
    <row r="30" spans="1:10" ht="20.100000000000001" customHeight="1" x14ac:dyDescent="0.2">
      <c r="A30" s="977"/>
      <c r="B30" s="621"/>
      <c r="C30" s="645" t="s">
        <v>212</v>
      </c>
      <c r="D30" s="646">
        <f>+IF(C30="",B30*0,IF(C30="A",B30/12,IF(C30="H",B30/6,IF(C30="Q",B30/3,IF(C30="M",B30,IF(C30="B",B30*2,IF(C30="F",B30*26/12,IF(C30="W",B30*52/12))))))))*E30</f>
        <v>0</v>
      </c>
      <c r="E30" s="647" t="b">
        <f t="shared" ref="E30" si="26">+IF(B30&gt;0,IF(C30="","error",1))</f>
        <v>0</v>
      </c>
      <c r="F30" s="621"/>
      <c r="G30" s="622" t="s">
        <v>212</v>
      </c>
      <c r="H30" s="646">
        <f>+IF(G30="",F30*0,IF(G30="A",F30/12,IF(G30="H",F30/6,IF(G30="Q",F30/3,IF(G30="M",F30,IF(G30="B",F30*2,IF(G30="F",F30*26/12,IF(G30="W",F30*52/12))))))))*I30</f>
        <v>0</v>
      </c>
      <c r="I30" s="648" t="b">
        <f t="shared" ref="I30" si="27">+IF(F30&gt;0,IF(G30="","error",1))</f>
        <v>0</v>
      </c>
    </row>
    <row r="31" spans="1:10" x14ac:dyDescent="0.2">
      <c r="B31" s="637"/>
      <c r="C31" s="638"/>
      <c r="D31" s="639"/>
      <c r="E31" s="640"/>
      <c r="F31" s="637"/>
      <c r="G31" s="638"/>
      <c r="H31" s="639"/>
      <c r="I31" s="641"/>
    </row>
    <row r="32" spans="1:10" ht="28.5" customHeight="1" thickBot="1" x14ac:dyDescent="0.3">
      <c r="A32" s="118" t="s">
        <v>375</v>
      </c>
      <c r="B32" s="642" t="str">
        <f>+B4</f>
        <v>Member Declared</v>
      </c>
      <c r="C32" s="643"/>
      <c r="D32" s="644"/>
      <c r="E32" s="651">
        <f>E5+E7+E9+E11+E13+E15+E17+E19+E21+E23+E25+E27+E29</f>
        <v>1</v>
      </c>
      <c r="F32" s="642" t="str">
        <f>+F4</f>
        <v>Assessed - Statement/Proviso Review</v>
      </c>
      <c r="G32" s="643"/>
      <c r="H32" s="644"/>
      <c r="I32" s="650">
        <f>I5+I7+I9+I11+I13+I15+I17+I19+I21+I23+I25+I27+I29</f>
        <v>1</v>
      </c>
    </row>
    <row r="33" spans="1:9" ht="15" x14ac:dyDescent="0.25">
      <c r="A33" s="118"/>
      <c r="B33" s="389"/>
      <c r="C33" s="389"/>
      <c r="D33" s="41"/>
      <c r="E33" s="380"/>
      <c r="F33" s="389"/>
      <c r="G33" s="389"/>
      <c r="I33" s="380"/>
    </row>
    <row r="34" spans="1:9" ht="13.5" thickBot="1" x14ac:dyDescent="0.25">
      <c r="A34" s="425" t="s">
        <v>376</v>
      </c>
    </row>
    <row r="35" spans="1:9" x14ac:dyDescent="0.2">
      <c r="A35" s="963"/>
      <c r="B35" s="964"/>
      <c r="C35" s="964"/>
      <c r="D35" s="964"/>
      <c r="E35" s="964"/>
      <c r="F35" s="964"/>
      <c r="G35" s="964"/>
      <c r="H35" s="964"/>
      <c r="I35" s="965"/>
    </row>
    <row r="36" spans="1:9" x14ac:dyDescent="0.2">
      <c r="A36" s="966"/>
      <c r="B36" s="967"/>
      <c r="C36" s="967"/>
      <c r="D36" s="967"/>
      <c r="E36" s="967"/>
      <c r="F36" s="967"/>
      <c r="G36" s="967"/>
      <c r="H36" s="967"/>
      <c r="I36" s="968"/>
    </row>
    <row r="37" spans="1:9" x14ac:dyDescent="0.2">
      <c r="A37" s="966"/>
      <c r="B37" s="967"/>
      <c r="C37" s="967"/>
      <c r="D37" s="967"/>
      <c r="E37" s="967"/>
      <c r="F37" s="967"/>
      <c r="G37" s="967"/>
      <c r="H37" s="967"/>
      <c r="I37" s="968"/>
    </row>
    <row r="38" spans="1:9" x14ac:dyDescent="0.2">
      <c r="A38" s="966"/>
      <c r="B38" s="967"/>
      <c r="C38" s="967"/>
      <c r="D38" s="967"/>
      <c r="E38" s="967"/>
      <c r="F38" s="967"/>
      <c r="G38" s="967"/>
      <c r="H38" s="967"/>
      <c r="I38" s="968"/>
    </row>
    <row r="39" spans="1:9" ht="13.5" thickBot="1" x14ac:dyDescent="0.25">
      <c r="A39" s="969"/>
      <c r="B39" s="970"/>
      <c r="C39" s="970"/>
      <c r="D39" s="970"/>
      <c r="E39" s="970"/>
      <c r="F39" s="970"/>
      <c r="G39" s="970"/>
      <c r="H39" s="970"/>
      <c r="I39" s="971"/>
    </row>
  </sheetData>
  <sheetProtection algorithmName="SHA-512" hashValue="BAWFwtVKVlBHxVXLDpnyAAlPQFTKe6G78l5Gm+Kx1QvvGnSFOXy3GPRk18cSDQCrjI3qyW2YKMOQaHRsheSKsg==" saltValue="Ja261KzKIWYp8ZSWp1tCwA==" spinCount="100000" sheet="1" selectLockedCells="1"/>
  <mergeCells count="17">
    <mergeCell ref="A29:A30"/>
    <mergeCell ref="C3:D3"/>
    <mergeCell ref="B4:E4"/>
    <mergeCell ref="F4:I4"/>
    <mergeCell ref="A35:I39"/>
    <mergeCell ref="A5:A6"/>
    <mergeCell ref="A7:A8"/>
    <mergeCell ref="A9:A10"/>
    <mergeCell ref="A11:A12"/>
    <mergeCell ref="A13:A14"/>
    <mergeCell ref="A15:A16"/>
    <mergeCell ref="A17:A18"/>
    <mergeCell ref="A19:A20"/>
    <mergeCell ref="A21:A22"/>
    <mergeCell ref="A23:A24"/>
    <mergeCell ref="A25:A26"/>
    <mergeCell ref="A27:A28"/>
  </mergeCells>
  <conditionalFormatting sqref="H6">
    <cfRule type="cellIs" dxfId="23" priority="45" operator="notEqual">
      <formula>$D$6</formula>
    </cfRule>
  </conditionalFormatting>
  <conditionalFormatting sqref="H8">
    <cfRule type="cellIs" dxfId="22" priority="44" operator="notEqual">
      <formula>$D$8</formula>
    </cfRule>
  </conditionalFormatting>
  <conditionalFormatting sqref="H10">
    <cfRule type="cellIs" dxfId="21" priority="41" operator="notEqual">
      <formula>$D$10</formula>
    </cfRule>
  </conditionalFormatting>
  <conditionalFormatting sqref="H12">
    <cfRule type="cellIs" dxfId="20" priority="35" operator="notEqual">
      <formula>$D$12</formula>
    </cfRule>
  </conditionalFormatting>
  <conditionalFormatting sqref="H14">
    <cfRule type="cellIs" dxfId="19" priority="16" operator="notEqual">
      <formula>$D$14</formula>
    </cfRule>
  </conditionalFormatting>
  <conditionalFormatting sqref="H16">
    <cfRule type="cellIs" dxfId="18" priority="28" operator="notEqual">
      <formula>$D$16</formula>
    </cfRule>
  </conditionalFormatting>
  <conditionalFormatting sqref="H18">
    <cfRule type="cellIs" dxfId="17" priority="23" operator="notEqual">
      <formula>$D$18</formula>
    </cfRule>
  </conditionalFormatting>
  <conditionalFormatting sqref="H20">
    <cfRule type="cellIs" dxfId="16" priority="12" operator="notEqual">
      <formula>$D$18</formula>
    </cfRule>
  </conditionalFormatting>
  <conditionalFormatting sqref="H22">
    <cfRule type="cellIs" dxfId="15" priority="5" operator="notEqual">
      <formula>$D$18</formula>
    </cfRule>
  </conditionalFormatting>
  <conditionalFormatting sqref="H24">
    <cfRule type="cellIs" dxfId="14" priority="4" operator="notEqual">
      <formula>$D$18</formula>
    </cfRule>
  </conditionalFormatting>
  <conditionalFormatting sqref="H26">
    <cfRule type="cellIs" dxfId="13" priority="3" operator="notEqual">
      <formula>$D$18</formula>
    </cfRule>
  </conditionalFormatting>
  <conditionalFormatting sqref="H28">
    <cfRule type="cellIs" dxfId="12" priority="2" operator="notEqual">
      <formula>$D$18</formula>
    </cfRule>
  </conditionalFormatting>
  <conditionalFormatting sqref="H30">
    <cfRule type="cellIs" dxfId="11" priority="1" operator="notEqual">
      <formula>$D$18</formula>
    </cfRule>
  </conditionalFormatting>
  <dataValidations count="1">
    <dataValidation type="list" allowBlank="1" showInputMessage="1" showErrorMessage="1" sqref="C8 C12 G8 C16 G10 C10 C14 G12 G14 G16 G20 C20 C22 G22 G24 C24 C26 G26 G28 C28 G30 C30 G6 C6 C18 G18" xr:uid="{00000000-0002-0000-0200-000000000000}">
      <formula1>Living_Expenses</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B1:J47"/>
  <sheetViews>
    <sheetView workbookViewId="0">
      <selection activeCell="C20" sqref="C20"/>
    </sheetView>
  </sheetViews>
  <sheetFormatPr defaultRowHeight="12.75" x14ac:dyDescent="0.2"/>
  <cols>
    <col min="1" max="1" width="2.5703125" customWidth="1"/>
    <col min="2" max="2" width="36.7109375" customWidth="1"/>
    <col min="3" max="3" width="15.7109375" customWidth="1"/>
    <col min="4" max="4" width="22.42578125" customWidth="1"/>
    <col min="5" max="5" width="14.42578125" customWidth="1"/>
    <col min="6" max="6" width="13.28515625" style="358" customWidth="1"/>
    <col min="7" max="7" width="65.5703125" customWidth="1"/>
    <col min="8" max="8" width="13.85546875" customWidth="1"/>
    <col min="9" max="9" width="8.140625" customWidth="1"/>
  </cols>
  <sheetData>
    <row r="1" spans="2:8" ht="21" x14ac:dyDescent="0.35">
      <c r="B1" s="153" t="s">
        <v>377</v>
      </c>
      <c r="C1" s="152"/>
      <c r="D1" s="160">
        <f ca="1">+NOW()</f>
        <v>46210.693019444443</v>
      </c>
      <c r="E1" s="365"/>
      <c r="F1" s="357"/>
    </row>
    <row r="2" spans="2:8" x14ac:dyDescent="0.2">
      <c r="B2" s="41"/>
      <c r="C2" s="41"/>
      <c r="D2" s="41"/>
      <c r="E2" s="41"/>
      <c r="F2" s="357"/>
      <c r="G2" s="41"/>
      <c r="H2" s="41"/>
    </row>
    <row r="3" spans="2:8" x14ac:dyDescent="0.2">
      <c r="B3" s="751" t="s">
        <v>378</v>
      </c>
      <c r="C3" s="362"/>
      <c r="D3" s="41"/>
      <c r="E3" s="41"/>
      <c r="F3" s="357"/>
      <c r="G3" s="41"/>
      <c r="H3" s="41"/>
    </row>
    <row r="4" spans="2:8" x14ac:dyDescent="0.2">
      <c r="B4" s="751" t="s">
        <v>379</v>
      </c>
      <c r="C4" s="362"/>
      <c r="D4" s="41"/>
      <c r="E4" s="41"/>
      <c r="F4" s="357"/>
      <c r="G4" s="41"/>
      <c r="H4" s="41"/>
    </row>
    <row r="5" spans="2:8" x14ac:dyDescent="0.2">
      <c r="B5" s="751" t="s">
        <v>380</v>
      </c>
      <c r="C5" s="362"/>
      <c r="D5" s="41"/>
      <c r="E5" s="41"/>
      <c r="F5" s="357"/>
      <c r="G5" s="41"/>
      <c r="H5" s="41"/>
    </row>
    <row r="6" spans="2:8" x14ac:dyDescent="0.2">
      <c r="B6" s="751" t="s">
        <v>381</v>
      </c>
      <c r="C6" s="362"/>
      <c r="D6" s="41"/>
      <c r="E6" s="41"/>
      <c r="F6" s="357"/>
      <c r="G6" s="41"/>
      <c r="H6" s="41"/>
    </row>
    <row r="7" spans="2:8" x14ac:dyDescent="0.2">
      <c r="B7" s="751" t="s">
        <v>382</v>
      </c>
      <c r="C7" s="362"/>
      <c r="D7" s="41"/>
      <c r="E7" s="41"/>
      <c r="F7" s="357"/>
      <c r="G7" s="41"/>
      <c r="H7" s="41"/>
    </row>
    <row r="8" spans="2:8" x14ac:dyDescent="0.2">
      <c r="B8" s="751" t="s">
        <v>383</v>
      </c>
      <c r="C8" s="361"/>
      <c r="D8" s="41"/>
      <c r="E8" s="41"/>
      <c r="F8" s="357"/>
      <c r="G8" s="41"/>
      <c r="H8" s="41"/>
    </row>
    <row r="9" spans="2:8" x14ac:dyDescent="0.2">
      <c r="B9" s="41"/>
      <c r="C9" s="339"/>
      <c r="D9" s="41"/>
      <c r="E9" s="41"/>
      <c r="F9" s="357"/>
      <c r="G9" s="41"/>
      <c r="H9" s="41"/>
    </row>
    <row r="10" spans="2:8" x14ac:dyDescent="0.2">
      <c r="B10" s="341" t="s">
        <v>384</v>
      </c>
      <c r="C10" s="339"/>
      <c r="D10" s="41"/>
      <c r="E10" s="41"/>
      <c r="F10" s="357"/>
      <c r="G10" s="41"/>
      <c r="H10" s="41"/>
    </row>
    <row r="11" spans="2:8" x14ac:dyDescent="0.2">
      <c r="B11" s="41" t="s">
        <v>385</v>
      </c>
      <c r="C11" s="355" t="e">
        <f>+VLOOKUP(C4,RegFees,2,FALSE)</f>
        <v>#N/A</v>
      </c>
      <c r="D11" s="357" t="s">
        <v>386</v>
      </c>
      <c r="E11" s="357"/>
      <c r="F11" s="357" t="s">
        <v>387</v>
      </c>
      <c r="G11" s="342" t="s">
        <v>388</v>
      </c>
      <c r="H11" s="340"/>
    </row>
    <row r="12" spans="2:8" x14ac:dyDescent="0.2">
      <c r="B12" s="41" t="s">
        <v>389</v>
      </c>
      <c r="C12" s="355"/>
      <c r="D12" s="357" t="s">
        <v>386</v>
      </c>
      <c r="E12" s="357"/>
      <c r="F12" s="357"/>
      <c r="G12" s="41" t="s">
        <v>390</v>
      </c>
      <c r="H12" s="41"/>
    </row>
    <row r="13" spans="2:8" x14ac:dyDescent="0.2">
      <c r="B13" s="41" t="s">
        <v>391</v>
      </c>
      <c r="C13" s="360"/>
      <c r="D13" s="357" t="s">
        <v>392</v>
      </c>
      <c r="E13" s="357"/>
      <c r="F13" s="357"/>
      <c r="G13" s="341" t="s">
        <v>393</v>
      </c>
    </row>
    <row r="14" spans="2:8" x14ac:dyDescent="0.2">
      <c r="F14" s="357"/>
      <c r="G14" s="41" t="s">
        <v>394</v>
      </c>
      <c r="H14" s="41"/>
    </row>
    <row r="15" spans="2:8" x14ac:dyDescent="0.2">
      <c r="B15" s="341" t="s">
        <v>395</v>
      </c>
      <c r="C15" s="360"/>
      <c r="D15" s="357" t="s">
        <v>392</v>
      </c>
      <c r="E15" s="41"/>
      <c r="F15" s="357"/>
      <c r="G15" s="41"/>
      <c r="H15" s="41"/>
    </row>
    <row r="16" spans="2:8" x14ac:dyDescent="0.2">
      <c r="B16" s="41"/>
      <c r="C16" s="339"/>
      <c r="D16" s="41"/>
      <c r="E16" s="41"/>
      <c r="F16" s="357"/>
      <c r="G16" s="41"/>
      <c r="H16" s="41"/>
    </row>
    <row r="17" spans="2:10" x14ac:dyDescent="0.2">
      <c r="B17" s="341" t="s">
        <v>396</v>
      </c>
      <c r="C17" s="339"/>
      <c r="D17" s="41"/>
      <c r="E17" s="41"/>
      <c r="F17" s="357"/>
      <c r="G17" s="41"/>
      <c r="H17" s="41"/>
    </row>
    <row r="18" spans="2:10" x14ac:dyDescent="0.2">
      <c r="B18" s="359" t="s">
        <v>397</v>
      </c>
      <c r="C18" s="339"/>
      <c r="D18" s="41"/>
      <c r="E18" s="41"/>
      <c r="F18" s="357"/>
      <c r="G18" s="41"/>
      <c r="H18" s="41"/>
    </row>
    <row r="19" spans="2:10" x14ac:dyDescent="0.2">
      <c r="B19" s="41" t="s">
        <v>398</v>
      </c>
      <c r="C19" s="355"/>
      <c r="D19" s="41"/>
      <c r="E19" s="41"/>
      <c r="F19" s="357"/>
      <c r="G19" s="41"/>
      <c r="H19" s="41"/>
    </row>
    <row r="20" spans="2:10" x14ac:dyDescent="0.2">
      <c r="B20" s="41" t="s">
        <v>399</v>
      </c>
      <c r="C20" s="355">
        <f>+Fees!D5</f>
        <v>0</v>
      </c>
    </row>
    <row r="21" spans="2:10" x14ac:dyDescent="0.2">
      <c r="B21" s="41" t="s">
        <v>400</v>
      </c>
      <c r="C21" s="356">
        <f>+IF(C7="Yes",150,0)</f>
        <v>0</v>
      </c>
      <c r="D21" s="357" t="s">
        <v>1668</v>
      </c>
      <c r="E21" s="357"/>
      <c r="F21" s="357"/>
      <c r="G21" s="41"/>
      <c r="H21" s="41"/>
    </row>
    <row r="22" spans="2:10" x14ac:dyDescent="0.2">
      <c r="B22" s="41"/>
      <c r="C22" s="339">
        <f>SUM(C18:C21)</f>
        <v>0</v>
      </c>
      <c r="D22" s="41"/>
      <c r="E22" s="41"/>
      <c r="F22" s="357"/>
      <c r="G22" s="41"/>
      <c r="H22" s="41"/>
    </row>
    <row r="23" spans="2:10" x14ac:dyDescent="0.2">
      <c r="B23" s="359" t="s">
        <v>401</v>
      </c>
      <c r="C23" s="339"/>
      <c r="D23" s="41"/>
      <c r="E23" s="41"/>
      <c r="F23" s="357"/>
      <c r="G23" s="41"/>
      <c r="H23" s="41"/>
    </row>
    <row r="24" spans="2:10" x14ac:dyDescent="0.2">
      <c r="B24" s="41" t="s">
        <v>402</v>
      </c>
      <c r="C24" s="355">
        <f>+Fees!C19</f>
        <v>0</v>
      </c>
      <c r="D24" s="41"/>
      <c r="E24" s="41"/>
      <c r="F24" s="357" t="s">
        <v>387</v>
      </c>
      <c r="G24" s="41" t="s">
        <v>403</v>
      </c>
      <c r="H24" s="41"/>
      <c r="J24" s="342"/>
    </row>
    <row r="25" spans="2:10" x14ac:dyDescent="0.2">
      <c r="B25" s="41" t="s">
        <v>404</v>
      </c>
      <c r="C25" s="355" t="e">
        <f>+C11*2</f>
        <v>#N/A</v>
      </c>
      <c r="D25" s="41"/>
      <c r="E25" s="41"/>
      <c r="F25" s="357"/>
      <c r="G25" s="41"/>
      <c r="H25" s="41"/>
    </row>
    <row r="26" spans="2:10" x14ac:dyDescent="0.2">
      <c r="B26" s="41" t="s">
        <v>405</v>
      </c>
      <c r="C26" s="356">
        <f>IF(C3="Refinance",0,C12)</f>
        <v>0</v>
      </c>
      <c r="D26" s="41"/>
      <c r="E26" s="41"/>
      <c r="F26" s="357"/>
      <c r="G26" s="41"/>
      <c r="H26" s="41"/>
    </row>
    <row r="27" spans="2:10" x14ac:dyDescent="0.2">
      <c r="B27" s="41" t="s">
        <v>406</v>
      </c>
      <c r="C27" s="355"/>
      <c r="D27" s="41"/>
      <c r="E27" s="41"/>
      <c r="F27" s="357"/>
      <c r="G27" s="41"/>
      <c r="H27" s="41"/>
    </row>
    <row r="28" spans="2:10" x14ac:dyDescent="0.2">
      <c r="B28" s="41" t="s">
        <v>407</v>
      </c>
      <c r="C28" s="356">
        <f>+IF(C7="Yes",+C27+112.75,0)</f>
        <v>0</v>
      </c>
      <c r="D28" s="41"/>
      <c r="E28" s="41"/>
      <c r="F28" s="357"/>
      <c r="G28" s="41"/>
      <c r="H28" s="41"/>
    </row>
    <row r="29" spans="2:10" x14ac:dyDescent="0.2">
      <c r="B29" s="41"/>
      <c r="C29" s="339" t="e">
        <f>SUM(C24:C28)</f>
        <v>#N/A</v>
      </c>
      <c r="D29" s="41"/>
      <c r="E29" s="41"/>
      <c r="F29" s="357"/>
      <c r="G29" s="41"/>
      <c r="H29" s="41"/>
    </row>
    <row r="30" spans="2:10" x14ac:dyDescent="0.2">
      <c r="B30" s="752" t="s">
        <v>408</v>
      </c>
      <c r="C30" s="343" t="e">
        <f>+C22+C29</f>
        <v>#N/A</v>
      </c>
      <c r="D30" s="119" t="s">
        <v>409</v>
      </c>
      <c r="E30" s="41"/>
      <c r="F30" s="357"/>
      <c r="G30" s="41"/>
      <c r="H30" s="41"/>
    </row>
    <row r="31" spans="2:10" x14ac:dyDescent="0.2">
      <c r="B31" s="341"/>
      <c r="C31" s="343"/>
      <c r="D31" s="357"/>
      <c r="E31" s="41"/>
      <c r="F31" s="357"/>
      <c r="G31" s="41"/>
      <c r="H31" s="41"/>
    </row>
    <row r="32" spans="2:10" x14ac:dyDescent="0.2">
      <c r="E32" s="41"/>
      <c r="F32" s="752" t="s">
        <v>410</v>
      </c>
      <c r="G32" s="343">
        <f>+Worksheet!C24*0.00625*1.1</f>
        <v>0</v>
      </c>
      <c r="H32" s="357" t="s">
        <v>411</v>
      </c>
    </row>
    <row r="33" spans="2:8" x14ac:dyDescent="0.2">
      <c r="B33" s="41"/>
      <c r="C33" s="339"/>
      <c r="D33" s="41"/>
      <c r="E33" s="41"/>
      <c r="F33" s="357"/>
      <c r="G33" s="41"/>
      <c r="H33" s="41"/>
    </row>
    <row r="34" spans="2:8" ht="15" x14ac:dyDescent="0.25">
      <c r="B34" s="344" t="s">
        <v>412</v>
      </c>
      <c r="C34" s="345" t="e">
        <f>+C8+C13+C15+C22+C29</f>
        <v>#N/A</v>
      </c>
      <c r="D34" s="41"/>
      <c r="E34" s="41"/>
      <c r="F34" s="357"/>
      <c r="G34" s="41"/>
      <c r="H34" s="41"/>
    </row>
    <row r="35" spans="2:8" ht="15.75" thickBot="1" x14ac:dyDescent="0.3">
      <c r="B35" s="346"/>
      <c r="C35" s="347"/>
      <c r="D35" s="41"/>
      <c r="E35" s="41"/>
      <c r="F35" s="357"/>
      <c r="G35" s="41"/>
      <c r="H35" s="41"/>
    </row>
    <row r="36" spans="2:8" ht="15" x14ac:dyDescent="0.25">
      <c r="B36" s="348" t="s">
        <v>413</v>
      </c>
      <c r="C36" s="349"/>
      <c r="D36" s="348" t="s">
        <v>414</v>
      </c>
      <c r="E36" s="539"/>
      <c r="F36" s="357"/>
      <c r="G36" s="41"/>
      <c r="H36" s="41"/>
    </row>
    <row r="37" spans="2:8" x14ac:dyDescent="0.2">
      <c r="B37" s="350"/>
      <c r="C37" s="351"/>
      <c r="D37" s="350"/>
      <c r="E37" s="351"/>
      <c r="F37" s="357"/>
      <c r="G37" s="41"/>
      <c r="H37" s="41"/>
    </row>
    <row r="38" spans="2:8" x14ac:dyDescent="0.2">
      <c r="B38" s="350" t="s">
        <v>415</v>
      </c>
      <c r="C38" s="354"/>
      <c r="D38" s="350" t="s">
        <v>416</v>
      </c>
      <c r="E38" s="540"/>
      <c r="F38" s="357"/>
      <c r="G38" s="41"/>
      <c r="H38" s="41"/>
    </row>
    <row r="39" spans="2:8" x14ac:dyDescent="0.2">
      <c r="B39" s="350" t="s">
        <v>417</v>
      </c>
      <c r="C39" s="354"/>
      <c r="D39" s="350"/>
      <c r="E39" s="351"/>
      <c r="F39" s="357"/>
      <c r="G39" s="41"/>
      <c r="H39" s="41"/>
    </row>
    <row r="40" spans="2:8" x14ac:dyDescent="0.2">
      <c r="B40" s="350" t="s">
        <v>418</v>
      </c>
      <c r="C40" s="354"/>
      <c r="D40" s="350" t="s">
        <v>419</v>
      </c>
      <c r="E40" s="543"/>
      <c r="F40" s="357"/>
      <c r="G40" s="41"/>
      <c r="H40" s="41"/>
    </row>
    <row r="41" spans="2:8" x14ac:dyDescent="0.2">
      <c r="B41" s="350" t="s">
        <v>420</v>
      </c>
      <c r="C41" s="354"/>
      <c r="D41" s="350" t="s">
        <v>421</v>
      </c>
      <c r="E41" s="543"/>
      <c r="F41" s="357"/>
      <c r="G41" s="41"/>
      <c r="H41" s="41"/>
    </row>
    <row r="42" spans="2:8" x14ac:dyDescent="0.2">
      <c r="B42" s="350" t="s">
        <v>422</v>
      </c>
      <c r="C42" s="354">
        <f>+Worksheet!C24</f>
        <v>0</v>
      </c>
      <c r="D42" s="350"/>
      <c r="E42" s="351"/>
      <c r="F42" s="357"/>
      <c r="G42" s="41"/>
      <c r="H42" s="41"/>
    </row>
    <row r="43" spans="2:8" x14ac:dyDescent="0.2">
      <c r="B43" s="350"/>
      <c r="C43" s="352">
        <f>SUM(C38:C42)</f>
        <v>0</v>
      </c>
      <c r="D43" s="544" t="s">
        <v>423</v>
      </c>
      <c r="E43" s="541" t="str">
        <f>IF(E38=0,"",+E38+E40)</f>
        <v/>
      </c>
      <c r="F43" s="357"/>
      <c r="G43" s="41"/>
      <c r="H43" s="41"/>
    </row>
    <row r="44" spans="2:8" x14ac:dyDescent="0.2">
      <c r="B44" s="350"/>
      <c r="C44" s="352"/>
      <c r="D44" s="350"/>
      <c r="E44" s="351"/>
      <c r="F44" s="357"/>
      <c r="G44" s="41"/>
      <c r="H44" s="41"/>
    </row>
    <row r="45" spans="2:8" ht="15.75" thickBot="1" x14ac:dyDescent="0.3">
      <c r="B45" s="753" t="s">
        <v>424</v>
      </c>
      <c r="C45" s="353" t="e">
        <f>+C43-C34</f>
        <v>#N/A</v>
      </c>
      <c r="D45" s="545" t="s">
        <v>425</v>
      </c>
      <c r="E45" s="542" t="str">
        <f>IF(E38=0,"",+E38+E41)</f>
        <v/>
      </c>
      <c r="F45" s="357"/>
      <c r="G45" s="41"/>
      <c r="H45" s="41"/>
    </row>
    <row r="46" spans="2:8" x14ac:dyDescent="0.2">
      <c r="B46" s="41"/>
      <c r="C46" s="343"/>
      <c r="D46" s="41"/>
      <c r="E46" s="41"/>
      <c r="F46" s="357"/>
      <c r="G46" s="41"/>
      <c r="H46" s="41"/>
    </row>
    <row r="47" spans="2:8" x14ac:dyDescent="0.2">
      <c r="B47" s="41"/>
      <c r="C47" s="343"/>
      <c r="D47" s="41"/>
      <c r="E47" s="41"/>
      <c r="F47" s="357"/>
      <c r="G47" s="41"/>
      <c r="H47" s="41"/>
    </row>
  </sheetData>
  <sheetProtection algorithmName="SHA-512" hashValue="JnaYlcpEU0R9cG1/0kgkwh4/3y2AeB0dr/n5barj1ofNl/auVZno5lwvsBzUXZ3APqufG83OWkTOK5nPxOdkXw==" saltValue="IXeAH3zxjxCm2+1KzPOVyg==" spinCount="100000" sheet="1" selectLockedCells="1"/>
  <dataValidations disablePrompts="1" count="4">
    <dataValidation type="list" allowBlank="1" showInputMessage="1" showErrorMessage="1" sqref="C3" xr:uid="{00000000-0002-0000-0300-000000000000}">
      <formula1>"Purchase,Refinance"</formula1>
    </dataValidation>
    <dataValidation type="list" allowBlank="1" showInputMessage="1" showErrorMessage="1" sqref="C4" xr:uid="{00000000-0002-0000-0300-000001000000}">
      <formula1>"ACT,NSW,NT,QLD,SA,TAS,VIC,WA"</formula1>
    </dataValidation>
    <dataValidation type="list" allowBlank="1" showInputMessage="1" showErrorMessage="1" sqref="C6:C7" xr:uid="{00000000-0002-0000-0300-000002000000}">
      <formula1>"Yes,No"</formula1>
    </dataValidation>
    <dataValidation type="list" allowBlank="1" showInputMessage="1" showErrorMessage="1" sqref="C5" xr:uid="{00000000-0002-0000-0300-000003000000}">
      <formula1>"Owner Occupied,Investment"</formula1>
    </dataValidation>
  </dataValidations>
  <hyperlinks>
    <hyperlink ref="G11" r:id="rId1" xr:uid="{00000000-0004-0000-0300-000000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A160-8A64-4082-B593-C2A40B588A77}">
  <sheetPr codeName="Sheet13"/>
  <dimension ref="A1:T62"/>
  <sheetViews>
    <sheetView topLeftCell="B5" zoomScale="110" zoomScaleNormal="110" workbookViewId="0">
      <selection activeCell="C5" sqref="C5"/>
    </sheetView>
  </sheetViews>
  <sheetFormatPr defaultColWidth="9.140625" defaultRowHeight="10.5" x14ac:dyDescent="0.15"/>
  <cols>
    <col min="1" max="1" width="4.5703125" style="451" customWidth="1"/>
    <col min="2" max="2" width="34.140625" style="451" customWidth="1"/>
    <col min="3" max="3" width="15.140625" style="451" customWidth="1"/>
    <col min="4" max="4" width="19.42578125" style="451" customWidth="1"/>
    <col min="5" max="5" width="3" style="451" customWidth="1"/>
    <col min="6" max="6" width="20.140625" style="451" customWidth="1"/>
    <col min="7" max="7" width="13.7109375" style="451" customWidth="1"/>
    <col min="8" max="8" width="9.140625" style="451"/>
    <col min="9" max="9" width="11.140625" style="451" customWidth="1"/>
    <col min="10" max="10" width="2.85546875" style="451" customWidth="1"/>
    <col min="11" max="11" width="34.85546875" style="451" customWidth="1"/>
    <col min="12" max="12" width="10.42578125" style="474" customWidth="1"/>
    <col min="13" max="13" width="21.28515625" style="451" customWidth="1"/>
    <col min="14" max="14" width="41.28515625" style="451" customWidth="1"/>
    <col min="15" max="15" width="17.28515625" style="451" customWidth="1"/>
    <col min="16" max="16" width="19.85546875" style="451" customWidth="1"/>
    <col min="17" max="17" width="16.85546875" style="451" customWidth="1"/>
    <col min="18" max="16384" width="9.140625" style="451"/>
  </cols>
  <sheetData>
    <row r="1" spans="1:20" x14ac:dyDescent="0.15">
      <c r="A1" s="450" t="s">
        <v>426</v>
      </c>
      <c r="B1" s="449"/>
      <c r="C1" s="449"/>
      <c r="D1" s="449"/>
      <c r="E1" s="449"/>
      <c r="F1" s="449"/>
      <c r="G1" s="449"/>
      <c r="H1" s="449"/>
      <c r="I1" s="449"/>
      <c r="J1" s="449"/>
      <c r="K1" s="527"/>
      <c r="P1" s="452"/>
      <c r="Q1" s="453"/>
      <c r="R1" s="453"/>
      <c r="S1" s="452"/>
      <c r="T1" s="452"/>
    </row>
    <row r="2" spans="1:20" ht="11.25" thickBot="1" x14ac:dyDescent="0.2">
      <c r="A2" s="454"/>
      <c r="B2" s="454"/>
      <c r="C2" s="454"/>
      <c r="D2" s="454"/>
      <c r="E2" s="454"/>
      <c r="F2" s="454"/>
      <c r="G2" s="454"/>
      <c r="H2" s="454"/>
      <c r="I2" s="454"/>
      <c r="J2" s="454"/>
      <c r="K2" s="454"/>
      <c r="P2" s="452"/>
      <c r="Q2" s="455" t="s">
        <v>427</v>
      </c>
      <c r="R2" s="456">
        <v>0</v>
      </c>
      <c r="S2" s="457"/>
      <c r="T2" s="452"/>
    </row>
    <row r="3" spans="1:20" x14ac:dyDescent="0.15">
      <c r="B3" s="501" t="s">
        <v>428</v>
      </c>
      <c r="C3" s="515"/>
      <c r="D3" s="502"/>
      <c r="E3" s="454"/>
      <c r="F3" s="501" t="s">
        <v>429</v>
      </c>
      <c r="G3" s="508"/>
      <c r="H3" s="508"/>
      <c r="I3" s="502"/>
      <c r="J3" s="454"/>
      <c r="K3" s="530" t="s">
        <v>430</v>
      </c>
      <c r="L3" s="531"/>
      <c r="P3" s="452"/>
      <c r="Q3" s="455" t="s">
        <v>431</v>
      </c>
      <c r="R3" s="456">
        <v>195</v>
      </c>
      <c r="S3" s="457"/>
      <c r="T3" s="452"/>
    </row>
    <row r="4" spans="1:20" x14ac:dyDescent="0.15">
      <c r="A4" s="454"/>
      <c r="B4" s="504"/>
      <c r="C4" s="454"/>
      <c r="D4" s="503"/>
      <c r="E4" s="454"/>
      <c r="F4" s="518"/>
      <c r="G4" s="454"/>
      <c r="H4" s="454"/>
      <c r="I4" s="503"/>
      <c r="J4" s="454"/>
      <c r="K4" s="504"/>
      <c r="L4" s="532"/>
      <c r="P4" s="452"/>
      <c r="Q4" s="455" t="s">
        <v>432</v>
      </c>
      <c r="R4" s="456">
        <v>146.4</v>
      </c>
      <c r="S4" s="457"/>
      <c r="T4" s="452"/>
    </row>
    <row r="5" spans="1:20" x14ac:dyDescent="0.15">
      <c r="A5" s="454"/>
      <c r="B5" s="504" t="s">
        <v>433</v>
      </c>
      <c r="C5" s="517" t="s">
        <v>434</v>
      </c>
      <c r="D5" s="523">
        <f>VLOOKUP(C5, Q14:R26, 2, FALSE)</f>
        <v>0</v>
      </c>
      <c r="E5" s="454"/>
      <c r="F5" s="504" t="s">
        <v>379</v>
      </c>
      <c r="G5" s="517" t="s">
        <v>427</v>
      </c>
      <c r="H5" s="525" t="e">
        <f>+VLOOKUP(G5,RegFees,2,FALSE)</f>
        <v>#N/A</v>
      </c>
      <c r="I5" s="503"/>
      <c r="J5" s="454"/>
      <c r="K5" s="504" t="s">
        <v>435</v>
      </c>
      <c r="L5" s="532"/>
      <c r="P5" s="452"/>
      <c r="Q5" s="455" t="s">
        <v>436</v>
      </c>
      <c r="R5" s="456">
        <v>110.8</v>
      </c>
      <c r="S5" s="457"/>
      <c r="T5" s="452"/>
    </row>
    <row r="6" spans="1:20" ht="11.25" thickBot="1" x14ac:dyDescent="0.2">
      <c r="A6" s="454"/>
      <c r="B6" s="505"/>
      <c r="C6" s="516"/>
      <c r="D6" s="510"/>
      <c r="E6" s="454"/>
      <c r="F6" s="504" t="s">
        <v>437</v>
      </c>
      <c r="G6" s="524" t="s">
        <v>438</v>
      </c>
      <c r="H6" s="454"/>
      <c r="I6" s="503"/>
      <c r="J6" s="454"/>
      <c r="K6" s="504" t="s">
        <v>439</v>
      </c>
      <c r="L6" s="533">
        <f>+Worksheet!C44*12</f>
        <v>0</v>
      </c>
      <c r="P6" s="452"/>
      <c r="Q6" s="455" t="s">
        <v>440</v>
      </c>
      <c r="R6" s="456">
        <v>153</v>
      </c>
      <c r="S6" s="457"/>
      <c r="T6" s="452"/>
    </row>
    <row r="7" spans="1:20" ht="11.25" thickBot="1" x14ac:dyDescent="0.2">
      <c r="A7" s="454"/>
      <c r="B7" s="454"/>
      <c r="C7" s="454"/>
      <c r="D7" s="454"/>
      <c r="E7" s="454"/>
      <c r="F7" s="504"/>
      <c r="G7" s="454"/>
      <c r="H7" s="454"/>
      <c r="I7" s="503"/>
      <c r="J7" s="454"/>
      <c r="K7" s="504"/>
      <c r="L7" s="532"/>
      <c r="P7" s="452"/>
      <c r="Q7" s="455" t="s">
        <v>441</v>
      </c>
      <c r="R7" s="456">
        <v>149</v>
      </c>
      <c r="S7" s="457"/>
      <c r="T7" s="452"/>
    </row>
    <row r="8" spans="1:20" x14ac:dyDescent="0.15">
      <c r="B8" s="501" t="s">
        <v>442</v>
      </c>
      <c r="C8" s="508"/>
      <c r="D8" s="502"/>
      <c r="E8" s="454"/>
      <c r="F8" s="504" t="s">
        <v>443</v>
      </c>
      <c r="G8" s="549">
        <v>0</v>
      </c>
      <c r="H8" s="506" t="s">
        <v>444</v>
      </c>
      <c r="I8" s="519"/>
      <c r="J8" s="506"/>
      <c r="K8" s="504" t="s">
        <v>445</v>
      </c>
      <c r="L8" s="534">
        <f>+VLOOKUP(L6,HELP_Table_2020_21,2,TRUE)</f>
        <v>0</v>
      </c>
      <c r="P8" s="452"/>
      <c r="Q8" s="455" t="s">
        <v>446</v>
      </c>
      <c r="R8" s="456">
        <v>173</v>
      </c>
      <c r="S8" s="457"/>
      <c r="T8" s="452"/>
    </row>
    <row r="9" spans="1:20" x14ac:dyDescent="0.15">
      <c r="A9" s="454"/>
      <c r="B9" s="504"/>
      <c r="C9" s="454"/>
      <c r="D9" s="503"/>
      <c r="E9" s="454"/>
      <c r="F9" s="504"/>
      <c r="G9" s="454"/>
      <c r="H9" s="454"/>
      <c r="I9" s="503"/>
      <c r="J9" s="454"/>
      <c r="K9" s="504"/>
      <c r="L9" s="532"/>
      <c r="P9" s="452"/>
      <c r="Q9" s="455" t="s">
        <v>447</v>
      </c>
      <c r="R9" s="456">
        <v>178.2</v>
      </c>
      <c r="S9" s="457"/>
      <c r="T9" s="452"/>
    </row>
    <row r="10" spans="1:20" x14ac:dyDescent="0.15">
      <c r="A10" s="454"/>
      <c r="B10" s="504" t="s">
        <v>448</v>
      </c>
      <c r="C10" s="513">
        <f>+Worksheet!C24</f>
        <v>0</v>
      </c>
      <c r="D10" s="514">
        <f>C10*0.00625*1.1</f>
        <v>0</v>
      </c>
      <c r="E10" s="454"/>
      <c r="F10" s="504" t="s">
        <v>449</v>
      </c>
      <c r="G10" s="526">
        <f>+IF(G6="yes",+H5*2+G8)+IF(G6="no",H5+G8)</f>
        <v>0</v>
      </c>
      <c r="H10" s="454"/>
      <c r="I10" s="503"/>
      <c r="J10" s="454"/>
      <c r="K10" s="504" t="s">
        <v>450</v>
      </c>
      <c r="L10" s="533">
        <f>+(L6*L8)/12</f>
        <v>0</v>
      </c>
      <c r="P10" s="452"/>
      <c r="Q10" s="455" t="s">
        <v>451</v>
      </c>
      <c r="R10" s="456">
        <v>138.51</v>
      </c>
      <c r="S10" s="457"/>
      <c r="T10" s="452"/>
    </row>
    <row r="11" spans="1:20" ht="11.25" thickBot="1" x14ac:dyDescent="0.2">
      <c r="A11" s="454"/>
      <c r="B11" s="505" t="s">
        <v>452</v>
      </c>
      <c r="C11" s="511"/>
      <c r="D11" s="512"/>
      <c r="E11" s="454"/>
      <c r="F11" s="504"/>
      <c r="G11" s="520"/>
      <c r="H11" s="454"/>
      <c r="I11" s="503"/>
      <c r="J11" s="454"/>
      <c r="K11" s="504"/>
      <c r="L11" s="532"/>
      <c r="P11" s="452"/>
      <c r="Q11" s="455"/>
      <c r="R11" s="455"/>
      <c r="S11" s="457"/>
      <c r="T11" s="452"/>
    </row>
    <row r="12" spans="1:20" ht="11.25" thickBot="1" x14ac:dyDescent="0.2">
      <c r="A12" s="454"/>
      <c r="B12" s="454"/>
      <c r="C12" s="454"/>
      <c r="D12" s="454"/>
      <c r="E12" s="454"/>
      <c r="F12" s="504"/>
      <c r="G12" s="521"/>
      <c r="H12" s="454"/>
      <c r="I12" s="503"/>
      <c r="J12" s="454"/>
      <c r="K12" s="528"/>
      <c r="L12" s="531"/>
      <c r="P12" s="452"/>
      <c r="Q12" s="457"/>
      <c r="R12" s="457"/>
      <c r="S12" s="457"/>
      <c r="T12" s="452"/>
    </row>
    <row r="13" spans="1:20" x14ac:dyDescent="0.15">
      <c r="A13" s="612"/>
      <c r="B13" s="610" t="s">
        <v>453</v>
      </c>
      <c r="C13" s="508"/>
      <c r="D13" s="502"/>
      <c r="E13" s="454"/>
      <c r="F13" s="518" t="s">
        <v>454</v>
      </c>
      <c r="G13" s="454"/>
      <c r="H13" s="454"/>
      <c r="I13" s="503"/>
      <c r="J13" s="454"/>
      <c r="K13" s="504" t="s">
        <v>455</v>
      </c>
      <c r="L13" s="532"/>
      <c r="P13" s="452"/>
      <c r="Q13" s="455"/>
      <c r="R13" s="457"/>
      <c r="S13" s="457"/>
      <c r="T13" s="452"/>
    </row>
    <row r="14" spans="1:20" x14ac:dyDescent="0.15">
      <c r="A14" s="503"/>
      <c r="C14" s="507"/>
      <c r="D14" s="503"/>
      <c r="E14" s="454"/>
      <c r="F14" s="504"/>
      <c r="G14" s="454"/>
      <c r="H14" s="454"/>
      <c r="I14" s="503"/>
      <c r="J14" s="454"/>
      <c r="K14" s="504" t="s">
        <v>439</v>
      </c>
      <c r="L14" s="533">
        <f>+Worksheet!C45*12</f>
        <v>0</v>
      </c>
      <c r="P14" s="452"/>
      <c r="Q14" s="455" t="s">
        <v>434</v>
      </c>
      <c r="R14" s="457"/>
      <c r="S14" s="457"/>
      <c r="T14" s="452"/>
    </row>
    <row r="15" spans="1:20" x14ac:dyDescent="0.15">
      <c r="A15" s="503"/>
      <c r="B15" s="611" t="s">
        <v>456</v>
      </c>
      <c r="C15" s="608">
        <v>220</v>
      </c>
      <c r="D15" s="503"/>
      <c r="E15" s="454"/>
      <c r="F15" s="504" t="s">
        <v>457</v>
      </c>
      <c r="G15" s="454" t="s">
        <v>458</v>
      </c>
      <c r="H15" s="454"/>
      <c r="I15" s="503"/>
      <c r="J15" s="454"/>
      <c r="K15" s="504"/>
      <c r="L15" s="532"/>
      <c r="P15" s="452"/>
      <c r="Q15" s="457" t="s">
        <v>459</v>
      </c>
      <c r="R15" s="457">
        <v>395</v>
      </c>
      <c r="S15" s="457">
        <v>12</v>
      </c>
      <c r="T15" s="452"/>
    </row>
    <row r="16" spans="1:20" x14ac:dyDescent="0.15">
      <c r="A16" s="503"/>
      <c r="B16" s="454" t="s">
        <v>460</v>
      </c>
      <c r="C16" s="609">
        <f>C15/11</f>
        <v>20</v>
      </c>
      <c r="D16" s="503"/>
      <c r="E16" s="454"/>
      <c r="F16" s="504" t="s">
        <v>461</v>
      </c>
      <c r="G16" s="454" t="s">
        <v>458</v>
      </c>
      <c r="H16" s="454"/>
      <c r="I16" s="503"/>
      <c r="J16" s="454"/>
      <c r="K16" s="504" t="s">
        <v>445</v>
      </c>
      <c r="L16" s="534">
        <f>+VLOOKUP(L14,HELP_Table_2020_21,2,TRUE)</f>
        <v>0</v>
      </c>
      <c r="P16" s="452"/>
      <c r="Q16" s="457" t="s">
        <v>462</v>
      </c>
      <c r="R16" s="457">
        <f>33*S16</f>
        <v>363</v>
      </c>
      <c r="S16" s="457">
        <v>11</v>
      </c>
      <c r="T16" s="452"/>
    </row>
    <row r="17" spans="1:20" x14ac:dyDescent="0.15">
      <c r="A17" s="454"/>
      <c r="B17" s="504" t="s">
        <v>463</v>
      </c>
      <c r="C17" s="609">
        <f>C16*0.25</f>
        <v>5</v>
      </c>
      <c r="D17" s="503"/>
      <c r="E17" s="454"/>
      <c r="F17" s="504"/>
      <c r="G17" s="454"/>
      <c r="H17" s="454"/>
      <c r="I17" s="503"/>
      <c r="J17" s="454"/>
      <c r="K17" s="504"/>
      <c r="L17" s="532"/>
      <c r="P17" s="452"/>
      <c r="Q17" s="457" t="s">
        <v>464</v>
      </c>
      <c r="R17" s="457">
        <f>R16-33</f>
        <v>330</v>
      </c>
      <c r="S17" s="457">
        <v>10</v>
      </c>
      <c r="T17" s="452"/>
    </row>
    <row r="18" spans="1:20" x14ac:dyDescent="0.15">
      <c r="A18" s="454"/>
      <c r="B18" s="613" t="s">
        <v>465</v>
      </c>
      <c r="C18" s="614">
        <f>(C15-C16)+C17</f>
        <v>205</v>
      </c>
      <c r="D18" s="503" t="s">
        <v>466</v>
      </c>
      <c r="E18" s="454"/>
      <c r="F18" s="504"/>
      <c r="G18" s="454"/>
      <c r="H18" s="454"/>
      <c r="I18" s="503"/>
      <c r="J18" s="454"/>
      <c r="K18" s="504" t="s">
        <v>450</v>
      </c>
      <c r="L18" s="533">
        <f>+(L14*L16)/12</f>
        <v>0</v>
      </c>
      <c r="P18" s="452"/>
      <c r="Q18" s="457" t="s">
        <v>467</v>
      </c>
      <c r="R18" s="457">
        <f t="shared" ref="R18:R25" si="0">R17-33</f>
        <v>297</v>
      </c>
      <c r="S18" s="457">
        <v>9</v>
      </c>
      <c r="T18" s="452"/>
    </row>
    <row r="19" spans="1:20" ht="11.25" thickBot="1" x14ac:dyDescent="0.2">
      <c r="A19" s="454"/>
      <c r="B19" s="607" t="s">
        <v>468</v>
      </c>
      <c r="C19" s="509">
        <f>C18-205</f>
        <v>0</v>
      </c>
      <c r="D19" s="510" t="s">
        <v>469</v>
      </c>
      <c r="E19" s="454"/>
      <c r="F19" s="505"/>
      <c r="G19" s="522"/>
      <c r="H19" s="522"/>
      <c r="I19" s="510"/>
      <c r="J19" s="454"/>
      <c r="K19" s="505"/>
      <c r="L19" s="535"/>
      <c r="P19" s="452"/>
      <c r="Q19" s="457" t="s">
        <v>470</v>
      </c>
      <c r="R19" s="457">
        <f t="shared" si="0"/>
        <v>264</v>
      </c>
      <c r="S19" s="457">
        <v>8</v>
      </c>
      <c r="T19" s="452"/>
    </row>
    <row r="20" spans="1:20" x14ac:dyDescent="0.15">
      <c r="A20" s="454"/>
      <c r="B20" s="454"/>
      <c r="C20" s="454"/>
      <c r="D20" s="454"/>
      <c r="E20" s="454"/>
      <c r="F20" s="454"/>
      <c r="G20" s="454"/>
      <c r="H20" s="454"/>
      <c r="I20" s="454"/>
      <c r="J20" s="454"/>
      <c r="K20" s="454"/>
      <c r="P20" s="452"/>
      <c r="Q20" s="457" t="s">
        <v>471</v>
      </c>
      <c r="R20" s="457">
        <f t="shared" si="0"/>
        <v>231</v>
      </c>
      <c r="S20" s="457">
        <v>7</v>
      </c>
      <c r="T20" s="452"/>
    </row>
    <row r="21" spans="1:20" x14ac:dyDescent="0.15">
      <c r="A21" s="454"/>
      <c r="B21" s="454"/>
      <c r="C21" s="454"/>
      <c r="D21" s="454"/>
      <c r="E21" s="454"/>
      <c r="F21" s="454"/>
      <c r="G21" s="454"/>
      <c r="H21" s="454"/>
      <c r="I21" s="454"/>
      <c r="J21" s="454"/>
      <c r="K21" s="454"/>
      <c r="P21" s="452"/>
      <c r="Q21" s="457" t="s">
        <v>472</v>
      </c>
      <c r="R21" s="457">
        <f t="shared" si="0"/>
        <v>198</v>
      </c>
      <c r="S21" s="457">
        <v>6</v>
      </c>
      <c r="T21" s="452"/>
    </row>
    <row r="22" spans="1:20" x14ac:dyDescent="0.15">
      <c r="A22" s="450" t="s">
        <v>1441</v>
      </c>
      <c r="B22" s="449"/>
      <c r="C22" s="449"/>
      <c r="D22" s="449"/>
      <c r="E22" s="449"/>
      <c r="F22" s="449"/>
      <c r="G22" s="449"/>
      <c r="H22" s="449"/>
      <c r="I22" s="449"/>
      <c r="J22" s="449"/>
      <c r="K22" s="450" t="s">
        <v>473</v>
      </c>
      <c r="L22" s="475"/>
      <c r="M22" s="449"/>
      <c r="N22" s="449"/>
      <c r="P22" s="452"/>
      <c r="Q22" s="457" t="s">
        <v>474</v>
      </c>
      <c r="R22" s="457">
        <f t="shared" si="0"/>
        <v>165</v>
      </c>
      <c r="S22" s="457">
        <v>5</v>
      </c>
      <c r="T22" s="452"/>
    </row>
    <row r="23" spans="1:20" x14ac:dyDescent="0.15">
      <c r="P23" s="452"/>
      <c r="Q23" s="457" t="s">
        <v>475</v>
      </c>
      <c r="R23" s="457">
        <f t="shared" si="0"/>
        <v>132</v>
      </c>
      <c r="S23" s="457">
        <v>4</v>
      </c>
      <c r="T23" s="452"/>
    </row>
    <row r="24" spans="1:20" x14ac:dyDescent="0.15">
      <c r="K24" s="458" t="s">
        <v>476</v>
      </c>
      <c r="L24" s="476" t="s">
        <v>358</v>
      </c>
      <c r="M24" s="458" t="s">
        <v>452</v>
      </c>
      <c r="N24" s="479" t="s">
        <v>477</v>
      </c>
      <c r="P24" s="452"/>
      <c r="Q24" s="457" t="s">
        <v>478</v>
      </c>
      <c r="R24" s="457">
        <f t="shared" si="0"/>
        <v>99</v>
      </c>
      <c r="S24" s="457">
        <v>3</v>
      </c>
      <c r="T24" s="452"/>
    </row>
    <row r="25" spans="1:20" x14ac:dyDescent="0.15">
      <c r="K25" s="451" t="s">
        <v>479</v>
      </c>
      <c r="L25" s="474" t="s">
        <v>480</v>
      </c>
      <c r="M25" s="451" t="s">
        <v>480</v>
      </c>
      <c r="N25" s="461" t="s">
        <v>481</v>
      </c>
      <c r="P25" s="452"/>
      <c r="Q25" s="457" t="s">
        <v>482</v>
      </c>
      <c r="R25" s="457">
        <f t="shared" si="0"/>
        <v>66</v>
      </c>
      <c r="S25" s="457">
        <v>2</v>
      </c>
      <c r="T25" s="452"/>
    </row>
    <row r="26" spans="1:20" x14ac:dyDescent="0.15">
      <c r="K26" s="459" t="s">
        <v>483</v>
      </c>
      <c r="L26" s="477" t="s">
        <v>480</v>
      </c>
      <c r="M26" s="459" t="s">
        <v>480</v>
      </c>
      <c r="N26" s="461" t="s">
        <v>484</v>
      </c>
      <c r="P26" s="452"/>
      <c r="Q26" s="457" t="s">
        <v>485</v>
      </c>
      <c r="R26" s="457">
        <v>33</v>
      </c>
      <c r="S26" s="457">
        <v>1</v>
      </c>
      <c r="T26" s="452"/>
    </row>
    <row r="27" spans="1:20" x14ac:dyDescent="0.15">
      <c r="G27" s="713" t="s">
        <v>1626</v>
      </c>
      <c r="H27" s="713"/>
      <c r="K27" s="459" t="s">
        <v>486</v>
      </c>
      <c r="L27" s="477" t="s">
        <v>480</v>
      </c>
      <c r="M27" s="459" t="s">
        <v>487</v>
      </c>
      <c r="N27" s="461" t="s">
        <v>488</v>
      </c>
      <c r="P27" s="452"/>
      <c r="Q27" s="452"/>
      <c r="R27" s="452"/>
      <c r="S27" s="452"/>
      <c r="T27" s="452"/>
    </row>
    <row r="28" spans="1:20" x14ac:dyDescent="0.15">
      <c r="K28" s="459" t="s">
        <v>489</v>
      </c>
      <c r="L28" s="477" t="s">
        <v>480</v>
      </c>
      <c r="M28" s="459" t="s">
        <v>487</v>
      </c>
      <c r="N28" s="461"/>
      <c r="P28" s="452"/>
      <c r="Q28" s="452"/>
      <c r="R28" s="452"/>
      <c r="S28" s="452"/>
      <c r="T28" s="452"/>
    </row>
    <row r="29" spans="1:20" x14ac:dyDescent="0.15">
      <c r="G29" s="451" t="s">
        <v>440</v>
      </c>
      <c r="H29" s="499">
        <v>184</v>
      </c>
      <c r="K29" s="459" t="s">
        <v>490</v>
      </c>
      <c r="L29" s="478">
        <v>350</v>
      </c>
      <c r="M29" s="459" t="s">
        <v>487</v>
      </c>
      <c r="N29" s="461" t="s">
        <v>491</v>
      </c>
      <c r="P29" s="460"/>
      <c r="Q29" s="460"/>
      <c r="R29" s="460"/>
      <c r="S29" s="460"/>
      <c r="T29" s="460"/>
    </row>
    <row r="30" spans="1:20" x14ac:dyDescent="0.15">
      <c r="G30" s="451" t="s">
        <v>432</v>
      </c>
      <c r="H30" s="499">
        <v>182.73</v>
      </c>
      <c r="K30" s="459" t="s">
        <v>492</v>
      </c>
      <c r="L30" s="477" t="s">
        <v>480</v>
      </c>
      <c r="M30" s="459" t="s">
        <v>493</v>
      </c>
      <c r="N30" s="461" t="s">
        <v>494</v>
      </c>
    </row>
    <row r="31" spans="1:20" x14ac:dyDescent="0.15">
      <c r="G31" s="451" t="s">
        <v>441</v>
      </c>
      <c r="H31" s="499">
        <v>181</v>
      </c>
      <c r="K31" s="459" t="s">
        <v>495</v>
      </c>
      <c r="L31" s="477" t="s">
        <v>480</v>
      </c>
      <c r="M31" s="459" t="s">
        <v>493</v>
      </c>
      <c r="N31" s="461" t="s">
        <v>496</v>
      </c>
    </row>
    <row r="32" spans="1:20" x14ac:dyDescent="0.15">
      <c r="G32" s="451" t="s">
        <v>431</v>
      </c>
      <c r="H32" s="499">
        <v>248.04</v>
      </c>
      <c r="K32" s="459" t="s">
        <v>497</v>
      </c>
      <c r="L32" s="477" t="s">
        <v>480</v>
      </c>
      <c r="M32" s="459" t="s">
        <v>498</v>
      </c>
      <c r="N32" s="461" t="s">
        <v>499</v>
      </c>
    </row>
    <row r="33" spans="7:14" x14ac:dyDescent="0.15">
      <c r="G33" s="451" t="s">
        <v>446</v>
      </c>
      <c r="H33" s="499">
        <v>204</v>
      </c>
      <c r="K33" s="459" t="s">
        <v>500</v>
      </c>
      <c r="L33" s="478">
        <v>375</v>
      </c>
      <c r="M33" s="459" t="s">
        <v>487</v>
      </c>
      <c r="N33" s="461" t="s">
        <v>501</v>
      </c>
    </row>
    <row r="34" spans="7:14" x14ac:dyDescent="0.15">
      <c r="G34" s="451" t="s">
        <v>451</v>
      </c>
      <c r="H34" s="499">
        <v>167.58</v>
      </c>
      <c r="K34" s="459" t="s">
        <v>502</v>
      </c>
      <c r="L34" s="478">
        <v>15</v>
      </c>
      <c r="M34" s="459" t="s">
        <v>487</v>
      </c>
      <c r="N34" s="461" t="s">
        <v>501</v>
      </c>
    </row>
    <row r="35" spans="7:14" x14ac:dyDescent="0.15">
      <c r="G35" s="451" t="s">
        <v>436</v>
      </c>
      <c r="H35" s="499">
        <v>129.19999999999999</v>
      </c>
      <c r="K35" s="459" t="s">
        <v>503</v>
      </c>
      <c r="L35" s="478">
        <v>25</v>
      </c>
      <c r="M35" s="459" t="s">
        <v>487</v>
      </c>
      <c r="N35" s="461" t="s">
        <v>501</v>
      </c>
    </row>
    <row r="36" spans="7:14" x14ac:dyDescent="0.15">
      <c r="G36" s="451" t="s">
        <v>447</v>
      </c>
      <c r="H36" s="499">
        <v>225.1</v>
      </c>
      <c r="K36" s="459" t="s">
        <v>504</v>
      </c>
      <c r="L36" s="478">
        <v>395</v>
      </c>
      <c r="M36" s="459" t="s">
        <v>487</v>
      </c>
      <c r="N36" s="461" t="s">
        <v>505</v>
      </c>
    </row>
    <row r="37" spans="7:14" ht="21" x14ac:dyDescent="0.15">
      <c r="K37" s="459" t="s">
        <v>506</v>
      </c>
      <c r="L37" s="477" t="s">
        <v>480</v>
      </c>
      <c r="M37" s="459" t="s">
        <v>487</v>
      </c>
      <c r="N37" s="461" t="s">
        <v>507</v>
      </c>
    </row>
    <row r="38" spans="7:14" x14ac:dyDescent="0.15">
      <c r="K38" s="459" t="s">
        <v>508</v>
      </c>
      <c r="L38" s="477" t="s">
        <v>480</v>
      </c>
      <c r="M38" s="459" t="s">
        <v>487</v>
      </c>
      <c r="N38" s="461" t="s">
        <v>505</v>
      </c>
    </row>
    <row r="39" spans="7:14" ht="21" x14ac:dyDescent="0.15">
      <c r="K39" s="459" t="s">
        <v>509</v>
      </c>
      <c r="L39" s="478">
        <v>150</v>
      </c>
      <c r="M39" s="459" t="s">
        <v>487</v>
      </c>
      <c r="N39" s="461" t="s">
        <v>510</v>
      </c>
    </row>
    <row r="40" spans="7:14" ht="73.5" x14ac:dyDescent="0.15">
      <c r="K40" s="459" t="s">
        <v>511</v>
      </c>
      <c r="L40" s="477" t="s">
        <v>480</v>
      </c>
      <c r="M40" s="459" t="s">
        <v>512</v>
      </c>
      <c r="N40" s="461" t="s">
        <v>513</v>
      </c>
    </row>
    <row r="41" spans="7:14" x14ac:dyDescent="0.15">
      <c r="K41" s="459" t="s">
        <v>514</v>
      </c>
      <c r="L41" s="478">
        <v>50</v>
      </c>
      <c r="M41" s="459" t="s">
        <v>487</v>
      </c>
      <c r="N41" s="461"/>
    </row>
    <row r="42" spans="7:14" ht="21" x14ac:dyDescent="0.15">
      <c r="K42" s="459" t="s">
        <v>515</v>
      </c>
      <c r="L42" s="477" t="s">
        <v>480</v>
      </c>
      <c r="M42" s="459" t="s">
        <v>512</v>
      </c>
      <c r="N42" s="461" t="s">
        <v>516</v>
      </c>
    </row>
    <row r="46" spans="7:14" x14ac:dyDescent="0.15">
      <c r="K46" s="604"/>
      <c r="L46" s="605"/>
    </row>
    <row r="47" spans="7:14" x14ac:dyDescent="0.15">
      <c r="L47" s="602"/>
    </row>
    <row r="48" spans="7:14" x14ac:dyDescent="0.15">
      <c r="L48" s="602"/>
    </row>
    <row r="49" spans="1:12" x14ac:dyDescent="0.15">
      <c r="L49" s="602"/>
    </row>
    <row r="50" spans="1:12" x14ac:dyDescent="0.15">
      <c r="L50" s="602"/>
    </row>
    <row r="51" spans="1:12" x14ac:dyDescent="0.15">
      <c r="K51" s="604"/>
      <c r="L51" s="606"/>
    </row>
    <row r="52" spans="1:12" x14ac:dyDescent="0.15">
      <c r="L52" s="603"/>
    </row>
    <row r="53" spans="1:12" x14ac:dyDescent="0.15">
      <c r="L53" s="603"/>
    </row>
    <row r="54" spans="1:12" x14ac:dyDescent="0.15">
      <c r="L54" s="603"/>
    </row>
    <row r="56" spans="1:12" ht="11.25" thickBot="1" x14ac:dyDescent="0.2"/>
    <row r="57" spans="1:12" x14ac:dyDescent="0.15">
      <c r="A57" s="462"/>
      <c r="B57" s="462"/>
      <c r="C57" s="462"/>
      <c r="D57" s="462"/>
      <c r="E57" s="463"/>
      <c r="F57" s="464"/>
    </row>
    <row r="58" spans="1:12" x14ac:dyDescent="0.15">
      <c r="A58" s="465"/>
      <c r="B58" s="465"/>
      <c r="C58" s="466" t="s">
        <v>388</v>
      </c>
      <c r="D58" s="465"/>
      <c r="E58" s="467"/>
      <c r="F58" s="468"/>
    </row>
    <row r="59" spans="1:12" ht="11.25" thickBot="1" x14ac:dyDescent="0.2">
      <c r="A59" s="469"/>
      <c r="B59" s="469"/>
      <c r="C59" s="470"/>
      <c r="D59" s="470"/>
      <c r="E59" s="471"/>
      <c r="F59" s="472"/>
    </row>
    <row r="60" spans="1:12" x14ac:dyDescent="0.15">
      <c r="A60" s="462"/>
      <c r="B60" s="462"/>
      <c r="C60" s="462"/>
      <c r="D60" s="462"/>
      <c r="E60" s="463"/>
      <c r="F60" s="464"/>
    </row>
    <row r="61" spans="1:12" x14ac:dyDescent="0.15">
      <c r="A61" s="465"/>
      <c r="B61" s="465"/>
      <c r="C61" s="473" t="s">
        <v>517</v>
      </c>
      <c r="D61" s="465"/>
      <c r="E61" s="467"/>
      <c r="F61" s="468"/>
    </row>
    <row r="62" spans="1:12" ht="11.25" thickBot="1" x14ac:dyDescent="0.2">
      <c r="A62" s="470"/>
      <c r="B62" s="470"/>
      <c r="C62" s="470"/>
      <c r="D62" s="470"/>
      <c r="E62" s="471"/>
      <c r="F62" s="472"/>
    </row>
  </sheetData>
  <sheetProtection algorithmName="SHA-512" hashValue="XQkbVlqE0KmTV7VqALNmpkkMqAJb2U4jbz3AEYP+X4jd/7MvDbaqBe/w4KrUo8wD1KFbwrUFkrAzkK7QpwhsFQ==" saltValue="dqrwnUQIaAYVxnHR0pTWFw==" spinCount="100000" sheet="1" selectLockedCells="1"/>
  <dataValidations count="4">
    <dataValidation type="list" allowBlank="1" showInputMessage="1" showErrorMessage="1" sqref="G6" xr:uid="{6FD2CC62-6145-41DA-9434-B0ACF37D1FAD}">
      <formula1>"Select Option, Yes, No"</formula1>
    </dataValidation>
    <dataValidation type="list" allowBlank="1" showInputMessage="1" showErrorMessage="1" sqref="C11" xr:uid="{5E4984C2-D78B-41B7-A6B5-2F0EE239D21E}">
      <formula1>"Select Aggregator, Regional Finance Group, Purple Circle Financial Services PTY LTD, Specialist Finance Group"</formula1>
    </dataValidation>
    <dataValidation type="list" allowBlank="1" showInputMessage="1" showErrorMessage="1" sqref="G5" xr:uid="{080FEA77-1E2E-4A2A-AE6B-4045D5CA2251}">
      <formula1>"Select State, QLD, NSW, VIC, SA, WA, TAS, NT, ACT"</formula1>
    </dataValidation>
    <dataValidation type="list" allowBlank="1" showInputMessage="1" showErrorMessage="1" sqref="C5" xr:uid="{19086F1A-1E9E-4C39-A0E9-C2E74DE38327}">
      <formula1>"Select Month, July, August, September, October, November, December, January, February, March, April, May, June"</formula1>
    </dataValidation>
  </dataValidations>
  <hyperlinks>
    <hyperlink ref="C61" r:id="rId1" xr:uid="{A139DEAB-50D7-4795-B846-B17414DCC594}"/>
    <hyperlink ref="C58" r:id="rId2" xr:uid="{C295F650-0AC4-493C-9A3C-136E66EA54B3}"/>
  </hyperlinks>
  <pageMargins left="0.7" right="0.7" top="0.75" bottom="0.75" header="0.3" footer="0.3"/>
  <pageSetup orientation="portrait" horizontalDpi="1200" verticalDpi="120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66c006e-acd1-419b-9578-e4b2e46d9dff">
      <Terms xmlns="http://schemas.microsoft.com/office/infopath/2007/PartnerControls"/>
    </lcf76f155ced4ddcb4097134ff3c332f>
    <_ip_UnifiedCompliancePolicyUIAction xmlns="http://schemas.microsoft.com/sharepoint/v3" xsi:nil="true"/>
    <TaxCatchAll xmlns="a0073916-0c1f-4482-b3d1-1fd1b7369d9f"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L c D A A B Q S w M E F A A C A A g A 8 3 1 H W i u W A M m k A A A A 9 g A A A B I A H A B D b 2 5 m a W c v U G F j a 2 F n Z S 5 4 b W w g o h g A K K A U A A A A A A A A A A A A A A A A A A A A A A A A A A A A h Y 9 B D o I w F E S v Q r q n L b A h 5 F N j 3 E p i Y j R u m 1 K h E T 6 G F s v d X H g k r y B G U X c u Z + Z N M n O / 3 m A x t k 1 w 0 b 0 1 H e Y k o p w E G l V X G q x y M r h j m J K F g I 1 U J 1 n p Y I L R Z q M 1 O a m d O 2 e M e e + p T 2 j X V y z m P G K H Y r 1 V t W 5 l a N A 6 i U q T T 6 v 8 3 y I C 9 q 8 x I q Z R k t I o 5 Z Q D m 0 0 o D H 6 B e N r 7 T H 9 M W A 2 N G 3 o t N I b L H b B Z A n t / E A 9 Q S w M E F A A C A A g A 8 3 1 H 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N 9 R 1 p L q U t K s Q A A A P g A A A A T A B w A R m 9 y b X V s Y X M v U 2 V j d G l v b j E u b S C i G A A o o B Q A A A A A A A A A A A A A A A A A A A A A A A A A A A B t j b E K g 0 A Q R H v B f 1 g u T Q Q R r C V F k L R J E S G F W J x m j Z L z V v b O Y B D / P W e u C m S b h Z k 3 M w Y b 2 5 O G q / 9 p F g Z h Y D r J e I d C 1 g p T O I B C G w b g 7 k o T N + i U 0 9 y g S v K J G b W 9 E T 9 r o u c + W s q z H P A g f F J U a 5 m T t g 6 p Y l + w E 3 k n 9 W M r f 4 8 o X N M X T Q q W 2 r T E Q 0 5 q G v R m m r 1 f i 5 d F H M e R 6 S U V X N q 2 b 5 C N i M E 6 B i z O d o 1 h E T 6 X / u h r F A a 9 / j u c f Q B Q S w E C L Q A U A A I A C A D z f U d a K 5 Y A y a Q A A A D 2 A A A A E g A A A A A A A A A A A A A A A A A A A A A A Q 2 9 u Z m l n L 1 B h Y 2 t h Z 2 U u e G 1 s U E s B A i 0 A F A A C A A g A 8 3 1 H W g / K 6 a u k A A A A 6 Q A A A B M A A A A A A A A A A A A A A A A A 8 A A A A F t D b 2 5 0 Z W 5 0 X 1 R 5 c G V z X S 5 4 b W x Q S w E C L Q A U A A I A C A D z f U d a S 6 l L S r E A A A D 4 A A A A E w A A A A A A A A A A A A A A A A D h A Q A A R m 9 y b X V s Y X M v U 2 V j d G l v b j E u b V B L B Q Y A A A A A A w A D A M I A A A D f 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v C A A A A A A A A I 0 I 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M t M T E t M T N U M D Y 6 M T Y 6 N D M u N T c z M D A 0 N 1 o i I C 8 + P E V u d H J 5 I F R 5 c G U 9 I k Z p b G x D b 2 x 1 b W 5 U e X B l c y I g V m F s d W U 9 I n N C Z 1 k 9 I i A v P j x F b n R y e S B U e X B l P S J G a W x s Q 2 9 s d W 1 u T m F t Z X M i I F Z h b H V l P S J z W y Z x d W 9 0 O 0 F w c H J v d m F s I E 9 m Z m l j Z X J z J n F 1 b 3 Q 7 L C Z x d W 9 0 O 0 N v b H V t b j E 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U Y W J s Z T E v Q X V 0 b 1 J l b W 9 2 Z W R D b 2 x 1 b W 5 z M S 5 7 Q X B w c m 9 2 Y W w g T 2 Z m a W N l c n M s M H 0 m c X V v d D s s J n F 1 b 3 Q 7 U 2 V j d G l v b j E v V G F i b G U x L 0 F 1 d G 9 S Z W 1 v d m V k Q 2 9 s d W 1 u c z E u e 0 N v b H V t b j E s M X 0 m c X V v d D t d L C Z x d W 9 0 O 0 N v b H V t b k N v d W 5 0 J n F 1 b 3 Q 7 O j I s J n F 1 b 3 Q 7 S 2 V 5 Q 2 9 s d W 1 u T m F t Z X M m c X V v d D s 6 W 1 0 s J n F 1 b 3 Q 7 Q 2 9 s d W 1 u S W R l b n R p d G l l c y Z x d W 9 0 O z p b J n F 1 b 3 Q 7 U 2 V j d G l v b j E v V G F i b G U x L 0 F 1 d G 9 S Z W 1 v d m V k Q 2 9 s d W 1 u c z E u e 0 F w c H J v d m F s I E 9 m Z m l j Z X J z L D B 9 J n F 1 b 3 Q 7 L C Z x d W 9 0 O 1 N l Y 3 R p b 2 4 x L 1 R h Y m x l M S 9 B d X R v U m V t b 3 Z l Z E N v b H V t b n M x L n t D b 2 x 1 b W 4 x L D F 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L 0 l 0 Z W 1 z P j w v T G 9 j Y W x Q Y W N r Y W d l T W V 0 Y W R h d G F G a W x l P h Y A A A B Q S w U G A A A A A A A A A A A A A A A A A A A A A A A A 2 g A A A A E A A A D Q j J 3 f A R X R E Y x 6 A M B P w p f r A Q A A A G V s B M l B X w t K p e H N l f 4 + 8 U 4 A A A A A A g A A A A A A A 2 Y A A M A A A A A Q A A A A r 6 9 M S 3 9 V 2 B n c y 6 s 7 t z G H P w A A A A A E g A A A o A A A A B A A A A B H G Q 8 y z L G W E L 6 k Q N O Y 7 j k J U A A A A N Q T E 3 q v i p w / 6 F V o h 5 6 q A p A J x R f W j 6 Y o K c J D 8 i l O U Y 6 t k 2 X L y R a 3 k a 3 n X C p Z k N 1 Q 6 7 p 2 O E b F w Q 1 A a l N B P a 7 z x z G V c + L / B 9 B i j P U K 4 J W S W E 9 B F A A A A I h + 6 Q K Q P w M s 1 4 J 9 g + 9 G r U O Y A J 1 r < / 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9B79E4FC3D4584CBBD1A3B1E3043210" ma:contentTypeVersion="14" ma:contentTypeDescription="Create a new document." ma:contentTypeScope="" ma:versionID="4270d70318495c688af4072073f459bf">
  <xsd:schema xmlns:xsd="http://www.w3.org/2001/XMLSchema" xmlns:xs="http://www.w3.org/2001/XMLSchema" xmlns:p="http://schemas.microsoft.com/office/2006/metadata/properties" xmlns:ns1="http://schemas.microsoft.com/sharepoint/v3" xmlns:ns2="166c006e-acd1-419b-9578-e4b2e46d9dff" xmlns:ns3="a0073916-0c1f-4482-b3d1-1fd1b7369d9f" targetNamespace="http://schemas.microsoft.com/office/2006/metadata/properties" ma:root="true" ma:fieldsID="7a383b4e0fa272db2e835be28aed2b07" ns1:_="" ns2:_="" ns3:_="">
    <xsd:import namespace="http://schemas.microsoft.com/sharepoint/v3"/>
    <xsd:import namespace="166c006e-acd1-419b-9578-e4b2e46d9dff"/>
    <xsd:import namespace="a0073916-0c1f-4482-b3d1-1fd1b7369d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6c006e-acd1-419b-9578-e4b2e46d9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618842a-e8c6-4c23-8263-d30651ceed7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073916-0c1f-4482-b3d1-1fd1b7369d9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56c0c2d-8011-4bfe-bb44-c22bfd1a51d2}" ma:internalName="TaxCatchAll" ma:showField="CatchAllData" ma:web="a0073916-0c1f-4482-b3d1-1fd1b7369d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ECE8FD-BE99-4161-AEA7-39F98F9D900B}">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9b15dea5-ceb0-4fff-baae-39754becfca2"/>
    <ds:schemaRef ds:uri="http://www.w3.org/XML/1998/namespace"/>
    <ds:schemaRef ds:uri="http://purl.org/dc/dcmitype/"/>
    <ds:schemaRef ds:uri="be86647f-bd38-47f3-b848-b5601c115780"/>
    <ds:schemaRef ds:uri="166c006e-acd1-419b-9578-e4b2e46d9dff"/>
    <ds:schemaRef ds:uri="http://schemas.microsoft.com/sharepoint/v3"/>
    <ds:schemaRef ds:uri="a0073916-0c1f-4482-b3d1-1fd1b7369d9f"/>
  </ds:schemaRefs>
</ds:datastoreItem>
</file>

<file path=customXml/itemProps2.xml><?xml version="1.0" encoding="utf-8"?>
<ds:datastoreItem xmlns:ds="http://schemas.openxmlformats.org/officeDocument/2006/customXml" ds:itemID="{984B9463-F07E-400C-BAAA-29A396FE00FE}">
  <ds:schemaRefs>
    <ds:schemaRef ds:uri="http://schemas.microsoft.com/sharepoint/v3/contenttype/forms"/>
  </ds:schemaRefs>
</ds:datastoreItem>
</file>

<file path=customXml/itemProps3.xml><?xml version="1.0" encoding="utf-8"?>
<ds:datastoreItem xmlns:ds="http://schemas.openxmlformats.org/officeDocument/2006/customXml" ds:itemID="{03392B11-8B4D-4266-B7FA-9AE041D02C5D}">
  <ds:schemaRefs>
    <ds:schemaRef ds:uri="http://schemas.microsoft.com/DataMashup"/>
  </ds:schemaRefs>
</ds:datastoreItem>
</file>

<file path=customXml/itemProps4.xml><?xml version="1.0" encoding="utf-8"?>
<ds:datastoreItem xmlns:ds="http://schemas.openxmlformats.org/officeDocument/2006/customXml" ds:itemID="{E642C4C5-0A46-4103-8B9A-34FD7EE515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66c006e-acd1-419b-9578-e4b2e46d9dff"/>
    <ds:schemaRef ds:uri="a0073916-0c1f-4482-b3d1-1fd1b7369d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55</vt:i4>
      </vt:variant>
    </vt:vector>
  </HeadingPairs>
  <TitlesOfParts>
    <vt:vector size="73" baseType="lpstr">
      <vt:lpstr>Broker</vt:lpstr>
      <vt:lpstr>Tables_Brokers</vt:lpstr>
      <vt:lpstr>Worksheet</vt:lpstr>
      <vt:lpstr>Tables</vt:lpstr>
      <vt:lpstr>DropINTable</vt:lpstr>
      <vt:lpstr>Schedule of Changes</vt:lpstr>
      <vt:lpstr>Living Expenses</vt:lpstr>
      <vt:lpstr>Funds to Complete</vt:lpstr>
      <vt:lpstr>Fees</vt:lpstr>
      <vt:lpstr>ARS223</vt:lpstr>
      <vt:lpstr>Bridging</vt:lpstr>
      <vt:lpstr>Postcodes</vt:lpstr>
      <vt:lpstr>Self-Employed</vt:lpstr>
      <vt:lpstr>Construction</vt:lpstr>
      <vt:lpstr>Geographic Classification</vt:lpstr>
      <vt:lpstr>HEM</vt:lpstr>
      <vt:lpstr>Per_child_accounting</vt:lpstr>
      <vt:lpstr>Quantile Regressions</vt:lpstr>
      <vt:lpstr>ACT</vt:lpstr>
      <vt:lpstr>Tables_Brokers!App</vt:lpstr>
      <vt:lpstr>App</vt:lpstr>
      <vt:lpstr>Tables_Brokers!Approval_Officers</vt:lpstr>
      <vt:lpstr>Approval_Officers</vt:lpstr>
      <vt:lpstr>Australia</vt:lpstr>
      <vt:lpstr>CC_Rates</vt:lpstr>
      <vt:lpstr>Tables_Brokers!Confirmed</vt:lpstr>
      <vt:lpstr>Confirmed</vt:lpstr>
      <vt:lpstr>Tables_Brokers!CreditReport</vt:lpstr>
      <vt:lpstr>CreditReport</vt:lpstr>
      <vt:lpstr>Tables_Brokers!Delegations</vt:lpstr>
      <vt:lpstr>Delegations</vt:lpstr>
      <vt:lpstr>Tables_Brokers!Family</vt:lpstr>
      <vt:lpstr>Family</vt:lpstr>
      <vt:lpstr>HELP_Table_2020_21</vt:lpstr>
      <vt:lpstr>Tables_Brokers!Interest_Type</vt:lpstr>
      <vt:lpstr>Interest_Type</vt:lpstr>
      <vt:lpstr>LIVING</vt:lpstr>
      <vt:lpstr>Tables_Brokers!Living_Expenses</vt:lpstr>
      <vt:lpstr>Living_Expenses</vt:lpstr>
      <vt:lpstr>Tables_Brokers!Location</vt:lpstr>
      <vt:lpstr>Location</vt:lpstr>
      <vt:lpstr>Tables_Brokers!NSRRate</vt:lpstr>
      <vt:lpstr>NSRRate</vt:lpstr>
      <vt:lpstr>NSW</vt:lpstr>
      <vt:lpstr>NT</vt:lpstr>
      <vt:lpstr>Tables_Brokers!PayFreq</vt:lpstr>
      <vt:lpstr>PayFreq</vt:lpstr>
      <vt:lpstr>Tables_Brokers!Period</vt:lpstr>
      <vt:lpstr>Period</vt:lpstr>
      <vt:lpstr>Broker!Print_Area</vt:lpstr>
      <vt:lpstr>'Funds to Complete'!Print_Area</vt:lpstr>
      <vt:lpstr>'Living Expenses'!Print_Area</vt:lpstr>
      <vt:lpstr>Tables_Brokers!Print_Area</vt:lpstr>
      <vt:lpstr>Worksheet!Print_Area</vt:lpstr>
      <vt:lpstr>Product_IR</vt:lpstr>
      <vt:lpstr>Tables_Brokers!Product_NSR</vt:lpstr>
      <vt:lpstr>Product_NSR</vt:lpstr>
      <vt:lpstr>ProductDLA</vt:lpstr>
      <vt:lpstr>QLD</vt:lpstr>
      <vt:lpstr>Rates</vt:lpstr>
      <vt:lpstr>Tables_Brokers!Rates_Broker</vt:lpstr>
      <vt:lpstr>Rates_Broker</vt:lpstr>
      <vt:lpstr>Rates_Brokers</vt:lpstr>
      <vt:lpstr>RegFees</vt:lpstr>
      <vt:lpstr>Rent_Discount</vt:lpstr>
      <vt:lpstr>SA</vt:lpstr>
      <vt:lpstr>Tables_Brokers!Single</vt:lpstr>
      <vt:lpstr>Single</vt:lpstr>
      <vt:lpstr>Sydney</vt:lpstr>
      <vt:lpstr>Tables_Brokers</vt:lpstr>
      <vt:lpstr>TAS</vt:lpstr>
      <vt:lpstr>VIC</vt:lpstr>
      <vt:lpstr>WA</vt:lpstr>
    </vt:vector>
  </TitlesOfParts>
  <Manager/>
  <Company>HVO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2022</dc:title>
  <dc:subject/>
  <dc:creator>Therese</dc:creator>
  <cp:keywords>Version 1 April 2022</cp:keywords>
  <dc:description/>
  <cp:lastModifiedBy>Julie O'Regan</cp:lastModifiedBy>
  <cp:revision/>
  <dcterms:created xsi:type="dcterms:W3CDTF">2010-06-22T01:33:36Z</dcterms:created>
  <dcterms:modified xsi:type="dcterms:W3CDTF">2026-07-07T06:38:04Z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0x01010069B79E4FC3D4584CBBD1A3B1E3043210</vt:lpwstr>
  </property>
  <property fmtid="{D5CDD505-2E9C-101B-9397-08002B2CF9AE}" pid="3" name="Order">
    <vt:r8>5000</vt:r8>
  </property>
  <property fmtid="{D5CDD505-2E9C-101B-9397-08002B2CF9AE}" pid="4" name="MediaServiceImageTags">
    <vt:lpwstr/>
  </property>
</Properties>
</file>